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6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7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340 - CACSFC - KKAG\KKAG_Info\2020_Edition 33\"/>
    </mc:Choice>
  </mc:AlternateContent>
  <bookViews>
    <workbookView xWindow="120" yWindow="165" windowWidth="14355" windowHeight="7215" tabRatio="762" firstSheet="1" activeTab="2"/>
  </bookViews>
  <sheets>
    <sheet name="Feuil1" sheetId="12" r:id="rId1"/>
    <sheet name="Degré d'autofinancement" sheetId="1" r:id="rId2"/>
    <sheet name="Capacité d'autofinancement" sheetId="4" r:id="rId3"/>
    <sheet name="Quotité des intérêts" sheetId="5" r:id="rId4"/>
    <sheet name="Quotité de la charge financière" sheetId="6" r:id="rId5"/>
    <sheet name="Endettement brut - revenus" sheetId="7" r:id="rId6"/>
    <sheet name="Quotité d'investissement" sheetId="8" r:id="rId7"/>
    <sheet name="Endettement par habitant" sheetId="9" r:id="rId8"/>
    <sheet name="Feuil2" sheetId="13" r:id="rId9"/>
  </sheets>
  <definedNames>
    <definedName name="_xlnm._FilterDatabase" localSheetId="2" hidden="1">'Capacité d''autofinancement'!$A$3:$AD$29</definedName>
    <definedName name="_xlnm._FilterDatabase" localSheetId="1" hidden="1">'Degré d''autofinancement'!$A$3:$AD$29</definedName>
    <definedName name="_xlnm._FilterDatabase" localSheetId="5" hidden="1">'Endettement brut - revenus'!$A$3:$T$3</definedName>
    <definedName name="_xlnm._FilterDatabase" localSheetId="7" hidden="1">'Endettement par habitant'!$A$3:$AD$29</definedName>
    <definedName name="_xlnm._FilterDatabase" localSheetId="4" hidden="1">'Quotité de la charge financière'!$A$3:$AD$29</definedName>
    <definedName name="_xlnm._FilterDatabase" localSheetId="3" hidden="1">'Quotité des intérêts'!$A$3:$AD$29</definedName>
    <definedName name="_xlnm._FilterDatabase" localSheetId="6" hidden="1">'Quotité d''investissement'!$A$3:$T$3</definedName>
    <definedName name="_xlnm.Print_Area" localSheetId="0">Feuil1!$A$1:$H$54</definedName>
  </definedNames>
  <calcPr calcId="162913"/>
</workbook>
</file>

<file path=xl/calcChain.xml><?xml version="1.0" encoding="utf-8"?>
<calcChain xmlns="http://schemas.openxmlformats.org/spreadsheetml/2006/main">
  <c r="V40" i="8" l="1"/>
  <c r="V40" i="7"/>
  <c r="AF40" i="6"/>
  <c r="AC36" i="4" l="1"/>
  <c r="AC36" i="1"/>
  <c r="AC42" i="9" l="1"/>
  <c r="AC43" i="9"/>
  <c r="AC44" i="9"/>
  <c r="AC45" i="9"/>
  <c r="AC46" i="9"/>
  <c r="AC38" i="9"/>
  <c r="AC36" i="9"/>
  <c r="S41" i="8"/>
  <c r="S42" i="8"/>
  <c r="S43" i="8"/>
  <c r="S44" i="8"/>
  <c r="S45" i="8"/>
  <c r="S36" i="8"/>
  <c r="S41" i="7"/>
  <c r="S42" i="7"/>
  <c r="S43" i="7"/>
  <c r="S44" i="7"/>
  <c r="S45" i="7"/>
  <c r="S46" i="7"/>
  <c r="S36" i="7"/>
  <c r="AC41" i="6"/>
  <c r="AC42" i="6"/>
  <c r="AC43" i="6"/>
  <c r="AC44" i="6"/>
  <c r="AC45" i="6"/>
  <c r="AC36" i="6"/>
  <c r="AC41" i="5"/>
  <c r="AC42" i="5"/>
  <c r="AC43" i="5"/>
  <c r="AC44" i="5"/>
  <c r="AC45" i="5"/>
  <c r="AC38" i="5"/>
  <c r="AC36" i="5"/>
  <c r="AC41" i="4"/>
  <c r="AC42" i="4"/>
  <c r="AC43" i="4"/>
  <c r="AC44" i="4"/>
  <c r="AC41" i="1"/>
  <c r="AC42" i="1"/>
  <c r="AC43" i="1"/>
  <c r="AC44" i="1"/>
  <c r="AC31" i="9"/>
  <c r="AC32" i="9"/>
  <c r="AC33" i="9"/>
  <c r="AC34" i="9"/>
  <c r="S31" i="8"/>
  <c r="S32" i="8"/>
  <c r="S33" i="8"/>
  <c r="S34" i="8"/>
  <c r="S31" i="7"/>
  <c r="S32" i="7"/>
  <c r="S33" i="7"/>
  <c r="S34" i="7"/>
  <c r="AC31" i="6"/>
  <c r="AC32" i="6"/>
  <c r="AC33" i="6"/>
  <c r="AC34" i="6"/>
  <c r="AC31" i="5"/>
  <c r="AC32" i="5"/>
  <c r="AC33" i="5"/>
  <c r="AC34" i="5"/>
  <c r="AC31" i="4"/>
  <c r="AC32" i="4"/>
  <c r="AC33" i="4"/>
  <c r="AC34" i="4"/>
  <c r="AC31" i="1"/>
  <c r="AC32" i="1"/>
  <c r="AC33" i="1"/>
  <c r="AC34" i="1"/>
  <c r="V5" i="8" l="1"/>
  <c r="V6" i="8"/>
  <c r="V7" i="8"/>
  <c r="V8" i="8"/>
  <c r="V9" i="8"/>
  <c r="V10" i="8"/>
  <c r="V11" i="8"/>
  <c r="V12" i="8"/>
  <c r="V13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4" i="8"/>
  <c r="V5" i="7"/>
  <c r="V6" i="7"/>
  <c r="V7" i="7"/>
  <c r="V8" i="7"/>
  <c r="V9" i="7"/>
  <c r="V10" i="7"/>
  <c r="V11" i="7"/>
  <c r="V12" i="7"/>
  <c r="V13" i="7"/>
  <c r="V14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4" i="7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7" i="6"/>
  <c r="AF28" i="6"/>
  <c r="AF29" i="6"/>
  <c r="AF4" i="6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4" i="5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4" i="4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4" i="1"/>
  <c r="AF41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4" i="1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4" i="4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4" i="5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7" i="6"/>
  <c r="AD28" i="6"/>
  <c r="AD29" i="6"/>
  <c r="AD4" i="6"/>
  <c r="T5" i="7"/>
  <c r="T6" i="7"/>
  <c r="T7" i="7"/>
  <c r="T8" i="7"/>
  <c r="T9" i="7"/>
  <c r="T10" i="7"/>
  <c r="T11" i="7"/>
  <c r="T12" i="7"/>
  <c r="T13" i="7"/>
  <c r="T14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4" i="7"/>
  <c r="T5" i="8"/>
  <c r="T6" i="8"/>
  <c r="T7" i="8"/>
  <c r="T8" i="8"/>
  <c r="T9" i="8"/>
  <c r="T10" i="8"/>
  <c r="T11" i="8"/>
  <c r="T12" i="8"/>
  <c r="T13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4" i="8"/>
  <c r="AD5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4" i="9"/>
  <c r="AC2" i="9" l="1"/>
  <c r="S2" i="8"/>
  <c r="S2" i="7"/>
  <c r="AC2" i="6"/>
  <c r="AC2" i="5"/>
  <c r="AC2" i="4"/>
  <c r="AF38" i="9" l="1"/>
  <c r="AF41" i="5" l="1"/>
  <c r="AF41" i="4"/>
  <c r="AB38" i="5" l="1"/>
  <c r="AB42" i="9"/>
  <c r="AB43" i="9"/>
  <c r="AB44" i="9"/>
  <c r="AB45" i="9"/>
  <c r="AB46" i="9"/>
  <c r="AB38" i="9"/>
  <c r="R41" i="8"/>
  <c r="R42" i="8"/>
  <c r="R43" i="8"/>
  <c r="R44" i="8"/>
  <c r="R45" i="8"/>
  <c r="R41" i="7"/>
  <c r="R42" i="7"/>
  <c r="R43" i="7"/>
  <c r="R44" i="7"/>
  <c r="R45" i="7"/>
  <c r="R46" i="7"/>
  <c r="AB41" i="6"/>
  <c r="AB42" i="6"/>
  <c r="AB43" i="6"/>
  <c r="AB44" i="6"/>
  <c r="AB45" i="6"/>
  <c r="AB41" i="5"/>
  <c r="AB42" i="5"/>
  <c r="AB43" i="5"/>
  <c r="AB44" i="5"/>
  <c r="AB45" i="5"/>
  <c r="AB41" i="4"/>
  <c r="AB42" i="4"/>
  <c r="AB43" i="4"/>
  <c r="AB44" i="4"/>
  <c r="AB41" i="1"/>
  <c r="AB42" i="1"/>
  <c r="AB43" i="1"/>
  <c r="AB44" i="1"/>
  <c r="AB31" i="9" l="1"/>
  <c r="AB32" i="9"/>
  <c r="AB33" i="9"/>
  <c r="AB34" i="9"/>
  <c r="R31" i="8"/>
  <c r="V31" i="8" s="1"/>
  <c r="R32" i="8"/>
  <c r="V32" i="8" s="1"/>
  <c r="R33" i="8"/>
  <c r="V33" i="8" s="1"/>
  <c r="R34" i="8"/>
  <c r="V34" i="8" s="1"/>
  <c r="R31" i="7"/>
  <c r="V31" i="7" s="1"/>
  <c r="R32" i="7"/>
  <c r="V32" i="7" s="1"/>
  <c r="R33" i="7"/>
  <c r="V33" i="7" s="1"/>
  <c r="R34" i="7"/>
  <c r="V34" i="7" s="1"/>
  <c r="AB31" i="6"/>
  <c r="AB32" i="6"/>
  <c r="AB33" i="6"/>
  <c r="AF33" i="6" s="1"/>
  <c r="AB34" i="6"/>
  <c r="AF34" i="6" s="1"/>
  <c r="AB31" i="5"/>
  <c r="AB32" i="5"/>
  <c r="AB33" i="5"/>
  <c r="AB34" i="5"/>
  <c r="AB31" i="4"/>
  <c r="AB32" i="4"/>
  <c r="AB33" i="4"/>
  <c r="AB34" i="4"/>
  <c r="AB31" i="1"/>
  <c r="AB32" i="1"/>
  <c r="AB33" i="1"/>
  <c r="AB34" i="1"/>
  <c r="AA38" i="9" l="1"/>
  <c r="AA42" i="9"/>
  <c r="AA43" i="9"/>
  <c r="AA44" i="9"/>
  <c r="AA45" i="9"/>
  <c r="AA46" i="9"/>
  <c r="Q41" i="8"/>
  <c r="Q42" i="8"/>
  <c r="Q43" i="8"/>
  <c r="Q44" i="8"/>
  <c r="Q45" i="8"/>
  <c r="Q41" i="7"/>
  <c r="Q42" i="7"/>
  <c r="Q43" i="7"/>
  <c r="Q44" i="7"/>
  <c r="Q45" i="7"/>
  <c r="Q46" i="7"/>
  <c r="AA41" i="6"/>
  <c r="AA42" i="6"/>
  <c r="AA43" i="6"/>
  <c r="AA44" i="6"/>
  <c r="AA45" i="6"/>
  <c r="AA38" i="5"/>
  <c r="AA41" i="5"/>
  <c r="AA42" i="5"/>
  <c r="AA43" i="5"/>
  <c r="AA44" i="5"/>
  <c r="AA45" i="5"/>
  <c r="AA41" i="4"/>
  <c r="AA42" i="4"/>
  <c r="AA43" i="4"/>
  <c r="AA44" i="4"/>
  <c r="AA41" i="1"/>
  <c r="AA42" i="1"/>
  <c r="AA43" i="1"/>
  <c r="AA44" i="1"/>
  <c r="AA31" i="9"/>
  <c r="AA32" i="9"/>
  <c r="AA33" i="9"/>
  <c r="AA34" i="9"/>
  <c r="Q31" i="8"/>
  <c r="Q32" i="8"/>
  <c r="Q33" i="8"/>
  <c r="Q34" i="8"/>
  <c r="Q31" i="7"/>
  <c r="Q32" i="7"/>
  <c r="Q33" i="7"/>
  <c r="Q34" i="7"/>
  <c r="AA31" i="6"/>
  <c r="AA32" i="6"/>
  <c r="AA33" i="6"/>
  <c r="AA34" i="6"/>
  <c r="AA31" i="5"/>
  <c r="AA32" i="5"/>
  <c r="AA33" i="5"/>
  <c r="AA34" i="5"/>
  <c r="AA31" i="4"/>
  <c r="AA32" i="4"/>
  <c r="AA33" i="4"/>
  <c r="AA34" i="4"/>
  <c r="AA31" i="1"/>
  <c r="AA32" i="1"/>
  <c r="AA33" i="1"/>
  <c r="AA34" i="1"/>
  <c r="B42" i="9" l="1"/>
  <c r="C42" i="9"/>
  <c r="D42" i="9"/>
  <c r="E42" i="9"/>
  <c r="F42" i="9"/>
  <c r="B43" i="9"/>
  <c r="C43" i="9"/>
  <c r="D43" i="9"/>
  <c r="E43" i="9"/>
  <c r="F43" i="9"/>
  <c r="B44" i="9"/>
  <c r="C44" i="9"/>
  <c r="D44" i="9"/>
  <c r="E44" i="9"/>
  <c r="F44" i="9"/>
  <c r="B45" i="9"/>
  <c r="C45" i="9"/>
  <c r="D45" i="9"/>
  <c r="E45" i="9"/>
  <c r="F45" i="9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H42" i="9" l="1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G42" i="9"/>
  <c r="G45" i="9"/>
  <c r="G44" i="9"/>
  <c r="G43" i="9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B44" i="8"/>
  <c r="B43" i="8"/>
  <c r="B42" i="8"/>
  <c r="B41" i="8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B43" i="7"/>
  <c r="B44" i="7"/>
  <c r="B41" i="7"/>
  <c r="B45" i="7"/>
  <c r="B42" i="7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G44" i="6"/>
  <c r="G43" i="6"/>
  <c r="G42" i="6"/>
  <c r="G41" i="6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G44" i="5"/>
  <c r="G43" i="5"/>
  <c r="G42" i="5"/>
  <c r="G41" i="5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B43" i="4"/>
  <c r="B42" i="4"/>
  <c r="B41" i="4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1" i="1"/>
  <c r="Q42" i="1"/>
  <c r="Q43" i="1"/>
  <c r="S41" i="1"/>
  <c r="T41" i="1"/>
  <c r="U41" i="1"/>
  <c r="V41" i="1"/>
  <c r="W41" i="1"/>
  <c r="X41" i="1"/>
  <c r="Y41" i="1"/>
  <c r="Z41" i="1"/>
  <c r="S42" i="1"/>
  <c r="T42" i="1"/>
  <c r="U42" i="1"/>
  <c r="V42" i="1"/>
  <c r="W42" i="1"/>
  <c r="X42" i="1"/>
  <c r="Y42" i="1"/>
  <c r="Z42" i="1"/>
  <c r="S43" i="1"/>
  <c r="T43" i="1"/>
  <c r="U43" i="1"/>
  <c r="V43" i="1"/>
  <c r="W43" i="1"/>
  <c r="X43" i="1"/>
  <c r="Y43" i="1"/>
  <c r="Z43" i="1"/>
  <c r="R43" i="1"/>
  <c r="R42" i="1"/>
  <c r="R41" i="1"/>
  <c r="B36" i="1" l="1"/>
  <c r="C36" i="1" l="1"/>
  <c r="Z46" i="9" l="1"/>
  <c r="Z38" i="9"/>
  <c r="P45" i="8"/>
  <c r="P46" i="7"/>
  <c r="Z45" i="6"/>
  <c r="Z45" i="5"/>
  <c r="Z38" i="5"/>
  <c r="Z44" i="4"/>
  <c r="Z44" i="1"/>
  <c r="Z31" i="9" l="1"/>
  <c r="Z32" i="9"/>
  <c r="Z33" i="9"/>
  <c r="Z34" i="9"/>
  <c r="P31" i="8"/>
  <c r="P32" i="8"/>
  <c r="P33" i="8"/>
  <c r="P34" i="8"/>
  <c r="P31" i="7"/>
  <c r="P32" i="7"/>
  <c r="P33" i="7"/>
  <c r="P34" i="7"/>
  <c r="Z31" i="6"/>
  <c r="Z32" i="6"/>
  <c r="Z33" i="6"/>
  <c r="Z34" i="6"/>
  <c r="Z31" i="5"/>
  <c r="AF31" i="5" s="1"/>
  <c r="Z32" i="5"/>
  <c r="AF32" i="5" s="1"/>
  <c r="Z33" i="5"/>
  <c r="AF33" i="5" s="1"/>
  <c r="Z34" i="5"/>
  <c r="AF34" i="5" s="1"/>
  <c r="Z31" i="4"/>
  <c r="AF31" i="4" s="1"/>
  <c r="Z32" i="4"/>
  <c r="AF32" i="4" s="1"/>
  <c r="Z33" i="4"/>
  <c r="AF33" i="4" s="1"/>
  <c r="Z34" i="4"/>
  <c r="AF34" i="4" s="1"/>
  <c r="Z31" i="1"/>
  <c r="AF31" i="1" s="1"/>
  <c r="Z32" i="1"/>
  <c r="AF32" i="1" s="1"/>
  <c r="Z33" i="1"/>
  <c r="AF33" i="1" s="1"/>
  <c r="Z34" i="1"/>
  <c r="T43" i="8" l="1"/>
  <c r="T42" i="8"/>
  <c r="T41" i="8"/>
  <c r="T44" i="8"/>
  <c r="T42" i="7"/>
  <c r="T41" i="7"/>
  <c r="T45" i="7"/>
  <c r="T44" i="7"/>
  <c r="T43" i="7"/>
  <c r="AD41" i="6"/>
  <c r="AD42" i="6"/>
  <c r="AD43" i="6"/>
  <c r="AD44" i="6"/>
  <c r="AD41" i="5"/>
  <c r="AD42" i="5"/>
  <c r="AD43" i="5"/>
  <c r="AD44" i="5"/>
  <c r="AD41" i="4"/>
  <c r="AD42" i="4"/>
  <c r="AD43" i="4"/>
  <c r="AD42" i="9"/>
  <c r="AD43" i="9"/>
  <c r="AD44" i="9"/>
  <c r="AD45" i="9"/>
  <c r="AD43" i="1"/>
  <c r="AD41" i="1"/>
  <c r="AD42" i="1"/>
  <c r="V2" i="8"/>
  <c r="V2" i="7"/>
  <c r="AF2" i="6"/>
  <c r="AF2" i="5"/>
  <c r="AF2" i="4"/>
  <c r="Y46" i="9" l="1"/>
  <c r="Y38" i="9"/>
  <c r="Y31" i="9"/>
  <c r="Y32" i="9"/>
  <c r="Y33" i="9"/>
  <c r="Y34" i="9"/>
  <c r="O45" i="8"/>
  <c r="O31" i="8"/>
  <c r="O32" i="8"/>
  <c r="O33" i="8"/>
  <c r="O34" i="8"/>
  <c r="O46" i="7"/>
  <c r="O31" i="7"/>
  <c r="O32" i="7"/>
  <c r="O33" i="7"/>
  <c r="O34" i="7"/>
  <c r="Y45" i="6"/>
  <c r="Y31" i="6"/>
  <c r="AF31" i="6" s="1"/>
  <c r="Y32" i="6"/>
  <c r="AF32" i="6" s="1"/>
  <c r="Y33" i="6"/>
  <c r="Y34" i="6"/>
  <c r="Y45" i="5"/>
  <c r="Y31" i="5"/>
  <c r="Y32" i="5"/>
  <c r="Y33" i="5"/>
  <c r="Y34" i="5"/>
  <c r="Y38" i="5"/>
  <c r="Y44" i="4"/>
  <c r="Y31" i="4"/>
  <c r="Y32" i="4"/>
  <c r="Y33" i="4"/>
  <c r="Y34" i="4"/>
  <c r="Y44" i="1"/>
  <c r="Y31" i="1"/>
  <c r="Y32" i="1"/>
  <c r="Y33" i="1"/>
  <c r="Y34" i="1"/>
  <c r="AF34" i="1" s="1"/>
  <c r="U38" i="9" l="1"/>
  <c r="V38" i="9"/>
  <c r="U38" i="5" l="1"/>
  <c r="V38" i="5"/>
  <c r="W38" i="5"/>
  <c r="X38" i="5"/>
  <c r="W38" i="9" l="1"/>
  <c r="X46" i="9" l="1"/>
  <c r="X38" i="9"/>
  <c r="X34" i="9"/>
  <c r="X33" i="9"/>
  <c r="X32" i="9"/>
  <c r="X31" i="9"/>
  <c r="N45" i="8"/>
  <c r="N34" i="8"/>
  <c r="N33" i="8"/>
  <c r="N32" i="8"/>
  <c r="N31" i="8"/>
  <c r="N46" i="7"/>
  <c r="N34" i="7"/>
  <c r="N33" i="7"/>
  <c r="N32" i="7"/>
  <c r="N31" i="7"/>
  <c r="X45" i="6"/>
  <c r="X34" i="6"/>
  <c r="X33" i="6"/>
  <c r="X32" i="6"/>
  <c r="X31" i="6"/>
  <c r="X45" i="5"/>
  <c r="X34" i="5"/>
  <c r="X33" i="5"/>
  <c r="X32" i="5"/>
  <c r="X31" i="5"/>
  <c r="X44" i="4"/>
  <c r="X34" i="4"/>
  <c r="X33" i="4"/>
  <c r="X32" i="4"/>
  <c r="X31" i="4"/>
  <c r="X44" i="1"/>
  <c r="X34" i="1"/>
  <c r="X33" i="1"/>
  <c r="X32" i="1"/>
  <c r="X31" i="1"/>
  <c r="AD33" i="4" l="1"/>
  <c r="AD32" i="4"/>
  <c r="T33" i="8"/>
  <c r="T31" i="8"/>
  <c r="T32" i="8"/>
  <c r="T34" i="8"/>
  <c r="T45" i="8"/>
  <c r="AD34" i="4"/>
  <c r="AD44" i="4"/>
  <c r="AD31" i="4"/>
  <c r="M45" i="8" l="1"/>
  <c r="M31" i="8"/>
  <c r="M32" i="8"/>
  <c r="M33" i="8"/>
  <c r="M34" i="8"/>
  <c r="W46" i="9"/>
  <c r="M46" i="7"/>
  <c r="W45" i="6"/>
  <c r="W45" i="5"/>
  <c r="W44" i="4"/>
  <c r="W44" i="1"/>
  <c r="W31" i="9" l="1"/>
  <c r="W32" i="9"/>
  <c r="W33" i="9"/>
  <c r="W34" i="9"/>
  <c r="M31" i="7"/>
  <c r="M32" i="7"/>
  <c r="M33" i="7"/>
  <c r="M34" i="7"/>
  <c r="W31" i="6"/>
  <c r="W32" i="6"/>
  <c r="W33" i="6"/>
  <c r="W34" i="6"/>
  <c r="W31" i="5"/>
  <c r="W32" i="5"/>
  <c r="W33" i="5"/>
  <c r="W34" i="5"/>
  <c r="W31" i="4"/>
  <c r="W32" i="4"/>
  <c r="W33" i="4"/>
  <c r="W34" i="4"/>
  <c r="W31" i="1" l="1"/>
  <c r="W32" i="1"/>
  <c r="W33" i="1"/>
  <c r="W34" i="1"/>
  <c r="M36" i="9" l="1"/>
  <c r="C36" i="9"/>
  <c r="AD31" i="9"/>
  <c r="M2" i="9"/>
  <c r="N36" i="9" s="1"/>
  <c r="C2" i="9"/>
  <c r="D36" i="9" s="1"/>
  <c r="Q31" i="9"/>
  <c r="R31" i="9"/>
  <c r="S31" i="9"/>
  <c r="T31" i="9"/>
  <c r="U31" i="9"/>
  <c r="V31" i="9"/>
  <c r="Q32" i="9"/>
  <c r="R32" i="9"/>
  <c r="S32" i="9"/>
  <c r="T32" i="9"/>
  <c r="U32" i="9"/>
  <c r="V32" i="9"/>
  <c r="AD32" i="9"/>
  <c r="Q33" i="9"/>
  <c r="R33" i="9"/>
  <c r="S33" i="9"/>
  <c r="T33" i="9"/>
  <c r="U33" i="9"/>
  <c r="V33" i="9"/>
  <c r="AD33" i="9"/>
  <c r="Q34" i="9"/>
  <c r="R34" i="9"/>
  <c r="S34" i="9"/>
  <c r="T34" i="9"/>
  <c r="U34" i="9"/>
  <c r="V34" i="9"/>
  <c r="Q46" i="9"/>
  <c r="R46" i="9"/>
  <c r="S46" i="9"/>
  <c r="T46" i="9"/>
  <c r="U46" i="9"/>
  <c r="V46" i="9"/>
  <c r="AD46" i="9"/>
  <c r="C36" i="8"/>
  <c r="B36" i="8"/>
  <c r="C2" i="8"/>
  <c r="D2" i="8" s="1"/>
  <c r="E2" i="8" s="1"/>
  <c r="F2" i="8" s="1"/>
  <c r="G2" i="8" s="1"/>
  <c r="H2" i="8" s="1"/>
  <c r="I2" i="8" s="1"/>
  <c r="J2" i="8" s="1"/>
  <c r="K2" i="8" s="1"/>
  <c r="L2" i="8" s="1"/>
  <c r="B31" i="8"/>
  <c r="C31" i="8"/>
  <c r="D31" i="8"/>
  <c r="E31" i="8"/>
  <c r="F31" i="8"/>
  <c r="G31" i="8"/>
  <c r="H31" i="8"/>
  <c r="I31" i="8"/>
  <c r="J31" i="8"/>
  <c r="K31" i="8"/>
  <c r="L31" i="8"/>
  <c r="C36" i="7"/>
  <c r="T32" i="7"/>
  <c r="C2" i="7"/>
  <c r="D2" i="7" s="1"/>
  <c r="E2" i="7" s="1"/>
  <c r="F2" i="7" s="1"/>
  <c r="G2" i="7" s="1"/>
  <c r="H2" i="7" s="1"/>
  <c r="I2" i="7" s="1"/>
  <c r="J2" i="7" s="1"/>
  <c r="K2" i="7" s="1"/>
  <c r="L2" i="7" s="1"/>
  <c r="T36" i="7" s="1"/>
  <c r="H31" i="7"/>
  <c r="I31" i="7"/>
  <c r="J31" i="7"/>
  <c r="K31" i="7"/>
  <c r="L31" i="7"/>
  <c r="T31" i="7"/>
  <c r="H32" i="7"/>
  <c r="I32" i="7"/>
  <c r="J32" i="7"/>
  <c r="K32" i="7"/>
  <c r="L32" i="7"/>
  <c r="H33" i="7"/>
  <c r="I33" i="7"/>
  <c r="J33" i="7"/>
  <c r="K33" i="7"/>
  <c r="L33" i="7"/>
  <c r="T33" i="7"/>
  <c r="H34" i="7"/>
  <c r="I34" i="7"/>
  <c r="J34" i="7"/>
  <c r="K34" i="7"/>
  <c r="L34" i="7"/>
  <c r="H46" i="7"/>
  <c r="I46" i="7"/>
  <c r="J46" i="7"/>
  <c r="K46" i="7"/>
  <c r="L46" i="7"/>
  <c r="T46" i="7"/>
  <c r="M36" i="6"/>
  <c r="M2" i="6"/>
  <c r="N2" i="6" s="1"/>
  <c r="O2" i="6" s="1"/>
  <c r="P2" i="6" s="1"/>
  <c r="Q2" i="6" s="1"/>
  <c r="R2" i="6" s="1"/>
  <c r="S2" i="6" s="1"/>
  <c r="T2" i="6" s="1"/>
  <c r="U2" i="6" s="1"/>
  <c r="V2" i="6" s="1"/>
  <c r="D2" i="6"/>
  <c r="E2" i="6" s="1"/>
  <c r="F2" i="6" s="1"/>
  <c r="G2" i="6" s="1"/>
  <c r="H2" i="6" s="1"/>
  <c r="I2" i="6" s="1"/>
  <c r="J2" i="6" s="1"/>
  <c r="K2" i="6" s="1"/>
  <c r="L36" i="6" s="1"/>
  <c r="C2" i="6"/>
  <c r="D36" i="6" s="1"/>
  <c r="P31" i="6"/>
  <c r="Q31" i="6"/>
  <c r="R31" i="6"/>
  <c r="S31" i="6"/>
  <c r="T31" i="6"/>
  <c r="U31" i="6"/>
  <c r="V31" i="6"/>
  <c r="P32" i="6"/>
  <c r="Q32" i="6"/>
  <c r="R32" i="6"/>
  <c r="S32" i="6"/>
  <c r="T32" i="6"/>
  <c r="U32" i="6"/>
  <c r="V32" i="6"/>
  <c r="P33" i="6"/>
  <c r="Q33" i="6"/>
  <c r="R33" i="6"/>
  <c r="S33" i="6"/>
  <c r="T33" i="6"/>
  <c r="U33" i="6"/>
  <c r="V33" i="6"/>
  <c r="P34" i="6"/>
  <c r="Q34" i="6"/>
  <c r="R34" i="6"/>
  <c r="S34" i="6"/>
  <c r="T34" i="6"/>
  <c r="U34" i="6"/>
  <c r="V34" i="6"/>
  <c r="P45" i="6"/>
  <c r="Q45" i="6"/>
  <c r="R45" i="6"/>
  <c r="S45" i="6"/>
  <c r="T45" i="6"/>
  <c r="U45" i="6"/>
  <c r="V45" i="6"/>
  <c r="M36" i="4"/>
  <c r="C36" i="4"/>
  <c r="C36" i="5"/>
  <c r="M36" i="5"/>
  <c r="R31" i="5"/>
  <c r="S31" i="5"/>
  <c r="T31" i="5"/>
  <c r="U31" i="5"/>
  <c r="V31" i="5"/>
  <c r="R32" i="5"/>
  <c r="S32" i="5"/>
  <c r="T32" i="5"/>
  <c r="U32" i="5"/>
  <c r="V32" i="5"/>
  <c r="R33" i="5"/>
  <c r="S33" i="5"/>
  <c r="T33" i="5"/>
  <c r="U33" i="5"/>
  <c r="V33" i="5"/>
  <c r="R34" i="5"/>
  <c r="S34" i="5"/>
  <c r="T34" i="5"/>
  <c r="U34" i="5"/>
  <c r="V34" i="5"/>
  <c r="R45" i="5"/>
  <c r="S45" i="5"/>
  <c r="T45" i="5"/>
  <c r="U45" i="5"/>
  <c r="V45" i="5"/>
  <c r="AD33" i="5"/>
  <c r="M2" i="5"/>
  <c r="N2" i="5" s="1"/>
  <c r="O2" i="5" s="1"/>
  <c r="P2" i="5" s="1"/>
  <c r="Q2" i="5" s="1"/>
  <c r="R2" i="5" s="1"/>
  <c r="S2" i="5" s="1"/>
  <c r="T2" i="5" s="1"/>
  <c r="U2" i="5" s="1"/>
  <c r="V2" i="5" s="1"/>
  <c r="AD36" i="5" s="1"/>
  <c r="C2" i="5"/>
  <c r="D36" i="5" s="1"/>
  <c r="C2" i="1"/>
  <c r="M2" i="4"/>
  <c r="N2" i="4" s="1"/>
  <c r="O2" i="4" s="1"/>
  <c r="P2" i="4" s="1"/>
  <c r="Q2" i="4" s="1"/>
  <c r="R2" i="4" s="1"/>
  <c r="S2" i="4" s="1"/>
  <c r="T2" i="4" s="1"/>
  <c r="U2" i="4" s="1"/>
  <c r="V2" i="4" s="1"/>
  <c r="D2" i="4"/>
  <c r="E36" i="4" s="1"/>
  <c r="C2" i="4"/>
  <c r="D36" i="4" s="1"/>
  <c r="Q31" i="4"/>
  <c r="R31" i="4"/>
  <c r="S31" i="4"/>
  <c r="T31" i="4"/>
  <c r="U31" i="4"/>
  <c r="V31" i="4"/>
  <c r="Q32" i="4"/>
  <c r="R32" i="4"/>
  <c r="S32" i="4"/>
  <c r="T32" i="4"/>
  <c r="U32" i="4"/>
  <c r="V32" i="4"/>
  <c r="Q33" i="4"/>
  <c r="R33" i="4"/>
  <c r="S33" i="4"/>
  <c r="T33" i="4"/>
  <c r="U33" i="4"/>
  <c r="V33" i="4"/>
  <c r="Q34" i="4"/>
  <c r="R34" i="4"/>
  <c r="S34" i="4"/>
  <c r="T34" i="4"/>
  <c r="U34" i="4"/>
  <c r="V34" i="4"/>
  <c r="Q44" i="4"/>
  <c r="R44" i="4"/>
  <c r="S44" i="4"/>
  <c r="T44" i="4"/>
  <c r="U44" i="4"/>
  <c r="V44" i="4"/>
  <c r="U31" i="1"/>
  <c r="V31" i="1"/>
  <c r="U32" i="1"/>
  <c r="V32" i="1"/>
  <c r="U33" i="1"/>
  <c r="V33" i="1"/>
  <c r="U34" i="1"/>
  <c r="V34" i="1"/>
  <c r="U44" i="1"/>
  <c r="V44" i="1"/>
  <c r="AD44" i="1"/>
  <c r="AD31" i="1"/>
  <c r="B36" i="7"/>
  <c r="B36" i="5"/>
  <c r="C36" i="6"/>
  <c r="B36" i="6"/>
  <c r="B36" i="9"/>
  <c r="B36" i="4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T31" i="1"/>
  <c r="T32" i="1"/>
  <c r="T33" i="1"/>
  <c r="T34" i="1"/>
  <c r="C34" i="1"/>
  <c r="C31" i="1"/>
  <c r="B34" i="1"/>
  <c r="B33" i="1"/>
  <c r="B32" i="1"/>
  <c r="B31" i="1"/>
  <c r="G31" i="7"/>
  <c r="G32" i="7"/>
  <c r="G33" i="7"/>
  <c r="G34" i="7"/>
  <c r="G46" i="7"/>
  <c r="F31" i="7"/>
  <c r="F32" i="7"/>
  <c r="F33" i="7"/>
  <c r="F34" i="7"/>
  <c r="F46" i="7"/>
  <c r="E31" i="7"/>
  <c r="E32" i="7"/>
  <c r="E33" i="7"/>
  <c r="E34" i="7"/>
  <c r="E46" i="7"/>
  <c r="D31" i="7"/>
  <c r="D32" i="7"/>
  <c r="D33" i="7"/>
  <c r="D34" i="7"/>
  <c r="D46" i="7"/>
  <c r="C31" i="7"/>
  <c r="C32" i="7"/>
  <c r="C33" i="7"/>
  <c r="C34" i="7"/>
  <c r="C46" i="7"/>
  <c r="B31" i="7"/>
  <c r="B32" i="7"/>
  <c r="B33" i="7"/>
  <c r="B34" i="7"/>
  <c r="B46" i="7"/>
  <c r="T44" i="1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B46" i="9"/>
  <c r="C45" i="8"/>
  <c r="B45" i="8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B45" i="6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4" i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B44" i="4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5" i="5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B32" i="9"/>
  <c r="C32" i="8"/>
  <c r="B32" i="8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B32" i="6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B32" i="4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1" i="9"/>
  <c r="C31" i="9"/>
  <c r="D31" i="9"/>
  <c r="B33" i="9"/>
  <c r="C33" i="9"/>
  <c r="D33" i="9"/>
  <c r="B34" i="9"/>
  <c r="C34" i="9"/>
  <c r="D34" i="9"/>
  <c r="B31" i="6"/>
  <c r="C31" i="6"/>
  <c r="D31" i="6"/>
  <c r="B33" i="6"/>
  <c r="C33" i="6"/>
  <c r="D33" i="6"/>
  <c r="B34" i="6"/>
  <c r="C34" i="6"/>
  <c r="D34" i="6"/>
  <c r="B31" i="5"/>
  <c r="C31" i="5"/>
  <c r="D31" i="5"/>
  <c r="B33" i="5"/>
  <c r="C33" i="5"/>
  <c r="D33" i="5"/>
  <c r="B34" i="5"/>
  <c r="C34" i="5"/>
  <c r="D34" i="5"/>
  <c r="B31" i="4"/>
  <c r="C31" i="4"/>
  <c r="D31" i="4"/>
  <c r="B33" i="4"/>
  <c r="C33" i="4"/>
  <c r="D33" i="4"/>
  <c r="B34" i="4"/>
  <c r="C34" i="4"/>
  <c r="D34" i="4"/>
  <c r="D34" i="1"/>
  <c r="D31" i="1"/>
  <c r="C33" i="1"/>
  <c r="D33" i="1"/>
  <c r="E31" i="9"/>
  <c r="F31" i="9"/>
  <c r="G31" i="9"/>
  <c r="H31" i="9"/>
  <c r="I31" i="9"/>
  <c r="J31" i="9"/>
  <c r="K31" i="9"/>
  <c r="E33" i="9"/>
  <c r="F33" i="9"/>
  <c r="G33" i="9"/>
  <c r="H33" i="9"/>
  <c r="I33" i="9"/>
  <c r="J33" i="9"/>
  <c r="K33" i="9"/>
  <c r="E34" i="9"/>
  <c r="F34" i="9"/>
  <c r="G34" i="9"/>
  <c r="H34" i="9"/>
  <c r="I34" i="9"/>
  <c r="J34" i="9"/>
  <c r="K34" i="9"/>
  <c r="E31" i="6"/>
  <c r="F31" i="6"/>
  <c r="G31" i="6"/>
  <c r="H31" i="6"/>
  <c r="I31" i="6"/>
  <c r="J31" i="6"/>
  <c r="K31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4" i="5"/>
  <c r="F34" i="5"/>
  <c r="G34" i="5"/>
  <c r="H34" i="5"/>
  <c r="I34" i="5"/>
  <c r="J34" i="5"/>
  <c r="K34" i="5"/>
  <c r="E31" i="5"/>
  <c r="F31" i="5"/>
  <c r="G31" i="5"/>
  <c r="H31" i="5"/>
  <c r="I31" i="5"/>
  <c r="J31" i="5"/>
  <c r="K31" i="5"/>
  <c r="E33" i="5"/>
  <c r="F33" i="5"/>
  <c r="G33" i="5"/>
  <c r="H33" i="5"/>
  <c r="I33" i="5"/>
  <c r="J33" i="5"/>
  <c r="K33" i="5"/>
  <c r="E34" i="4"/>
  <c r="F34" i="4"/>
  <c r="G34" i="4"/>
  <c r="H34" i="4"/>
  <c r="I34" i="4"/>
  <c r="J34" i="4"/>
  <c r="K34" i="4"/>
  <c r="E31" i="4"/>
  <c r="F31" i="4"/>
  <c r="G31" i="4"/>
  <c r="H31" i="4"/>
  <c r="I31" i="4"/>
  <c r="J31" i="4"/>
  <c r="K31" i="4"/>
  <c r="E33" i="4"/>
  <c r="F33" i="4"/>
  <c r="G33" i="4"/>
  <c r="H33" i="4"/>
  <c r="I33" i="4"/>
  <c r="J33" i="4"/>
  <c r="K33" i="4"/>
  <c r="E34" i="1"/>
  <c r="F34" i="1"/>
  <c r="G34" i="1"/>
  <c r="H34" i="1"/>
  <c r="I34" i="1"/>
  <c r="J34" i="1"/>
  <c r="K34" i="1"/>
  <c r="E33" i="1"/>
  <c r="F33" i="1"/>
  <c r="G33" i="1"/>
  <c r="H33" i="1"/>
  <c r="I33" i="1"/>
  <c r="J33" i="1"/>
  <c r="K33" i="1"/>
  <c r="E31" i="1"/>
  <c r="F31" i="1"/>
  <c r="G31" i="1"/>
  <c r="H31" i="1"/>
  <c r="I31" i="1"/>
  <c r="J31" i="1"/>
  <c r="K31" i="1"/>
  <c r="P34" i="9"/>
  <c r="O34" i="9"/>
  <c r="N34" i="9"/>
  <c r="M34" i="9"/>
  <c r="L34" i="9"/>
  <c r="P33" i="9"/>
  <c r="O33" i="9"/>
  <c r="N33" i="9"/>
  <c r="M33" i="9"/>
  <c r="L33" i="9"/>
  <c r="P31" i="9"/>
  <c r="O31" i="9"/>
  <c r="N31" i="9"/>
  <c r="M31" i="9"/>
  <c r="L31" i="9"/>
  <c r="C34" i="8"/>
  <c r="B34" i="8"/>
  <c r="C33" i="8"/>
  <c r="B33" i="8"/>
  <c r="O34" i="6"/>
  <c r="N34" i="6"/>
  <c r="M34" i="6"/>
  <c r="L34" i="6"/>
  <c r="O33" i="6"/>
  <c r="N33" i="6"/>
  <c r="M33" i="6"/>
  <c r="L33" i="6"/>
  <c r="O31" i="6"/>
  <c r="N31" i="6"/>
  <c r="M31" i="6"/>
  <c r="L31" i="6"/>
  <c r="Q34" i="5"/>
  <c r="P34" i="5"/>
  <c r="O34" i="5"/>
  <c r="N34" i="5"/>
  <c r="M34" i="5"/>
  <c r="L34" i="5"/>
  <c r="Q33" i="5"/>
  <c r="P33" i="5"/>
  <c r="O33" i="5"/>
  <c r="N33" i="5"/>
  <c r="M33" i="5"/>
  <c r="L33" i="5"/>
  <c r="Q31" i="5"/>
  <c r="P31" i="5"/>
  <c r="O31" i="5"/>
  <c r="N31" i="5"/>
  <c r="M31" i="5"/>
  <c r="L31" i="5"/>
  <c r="P34" i="4"/>
  <c r="O34" i="4"/>
  <c r="N34" i="4"/>
  <c r="M34" i="4"/>
  <c r="L34" i="4"/>
  <c r="P33" i="4"/>
  <c r="O33" i="4"/>
  <c r="N33" i="4"/>
  <c r="M33" i="4"/>
  <c r="L33" i="4"/>
  <c r="P31" i="4"/>
  <c r="O31" i="4"/>
  <c r="N31" i="4"/>
  <c r="M31" i="4"/>
  <c r="L31" i="4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1" i="1"/>
  <c r="R31" i="1"/>
  <c r="Q31" i="1"/>
  <c r="P31" i="1"/>
  <c r="O31" i="1"/>
  <c r="N31" i="1"/>
  <c r="M31" i="1"/>
  <c r="L31" i="1"/>
  <c r="E36" i="6" l="1"/>
  <c r="F36" i="6"/>
  <c r="AE31" i="1"/>
  <c r="E2" i="4"/>
  <c r="D2" i="5"/>
  <c r="N36" i="5"/>
  <c r="N36" i="6"/>
  <c r="D2" i="9"/>
  <c r="E36" i="9" s="1"/>
  <c r="N2" i="9"/>
  <c r="O2" i="9" s="1"/>
  <c r="P2" i="9" s="1"/>
  <c r="Q2" i="9" s="1"/>
  <c r="R2" i="9" s="1"/>
  <c r="S2" i="9" s="1"/>
  <c r="T2" i="9" s="1"/>
  <c r="U2" i="9" s="1"/>
  <c r="V2" i="9" s="1"/>
  <c r="W36" i="9" s="1"/>
  <c r="D2" i="1"/>
  <c r="D36" i="1"/>
  <c r="S36" i="5"/>
  <c r="K36" i="7"/>
  <c r="G36" i="7"/>
  <c r="R36" i="6"/>
  <c r="T36" i="6"/>
  <c r="V36" i="6"/>
  <c r="P36" i="6"/>
  <c r="O36" i="5"/>
  <c r="T36" i="5"/>
  <c r="P36" i="5"/>
  <c r="M2" i="8"/>
  <c r="T36" i="8"/>
  <c r="M36" i="8"/>
  <c r="F36" i="7"/>
  <c r="J36" i="7"/>
  <c r="M36" i="7"/>
  <c r="M2" i="7"/>
  <c r="D36" i="7"/>
  <c r="H36" i="7"/>
  <c r="L36" i="7"/>
  <c r="E36" i="7"/>
  <c r="I36" i="7"/>
  <c r="J36" i="6"/>
  <c r="W36" i="6"/>
  <c r="W2" i="6"/>
  <c r="G36" i="6"/>
  <c r="K36" i="6"/>
  <c r="O36" i="6"/>
  <c r="S36" i="6"/>
  <c r="AD36" i="6"/>
  <c r="H36" i="6"/>
  <c r="I36" i="6"/>
  <c r="Q36" i="6"/>
  <c r="U36" i="6"/>
  <c r="W36" i="5"/>
  <c r="W2" i="5"/>
  <c r="V36" i="5"/>
  <c r="R36" i="5"/>
  <c r="U36" i="5"/>
  <c r="Q36" i="5"/>
  <c r="Q36" i="4"/>
  <c r="U36" i="4"/>
  <c r="N36" i="4"/>
  <c r="P36" i="4"/>
  <c r="T36" i="4"/>
  <c r="AD36" i="4"/>
  <c r="W36" i="4"/>
  <c r="W2" i="4"/>
  <c r="R36" i="4"/>
  <c r="V36" i="4"/>
  <c r="O36" i="4"/>
  <c r="S36" i="4"/>
  <c r="F36" i="8"/>
  <c r="J36" i="8"/>
  <c r="G36" i="8"/>
  <c r="K36" i="8"/>
  <c r="D36" i="8"/>
  <c r="H36" i="8"/>
  <c r="L36" i="8"/>
  <c r="E36" i="8"/>
  <c r="I36" i="8"/>
  <c r="AD31" i="6"/>
  <c r="AD45" i="6"/>
  <c r="AD34" i="6"/>
  <c r="AD33" i="6"/>
  <c r="AD32" i="6"/>
  <c r="AD45" i="5"/>
  <c r="AD32" i="1"/>
  <c r="AD33" i="1"/>
  <c r="AD34" i="1"/>
  <c r="AD34" i="9"/>
  <c r="D45" i="8"/>
  <c r="D32" i="8"/>
  <c r="D33" i="8"/>
  <c r="D34" i="8"/>
  <c r="T34" i="7"/>
  <c r="AD34" i="5"/>
  <c r="AD32" i="5"/>
  <c r="AD31" i="5"/>
  <c r="U36" i="9" l="1"/>
  <c r="W2" i="9"/>
  <c r="X36" i="9" s="1"/>
  <c r="S36" i="9"/>
  <c r="P36" i="9"/>
  <c r="AD36" i="9"/>
  <c r="V36" i="9"/>
  <c r="Q36" i="9"/>
  <c r="F2" i="4"/>
  <c r="F36" i="4"/>
  <c r="E2" i="9"/>
  <c r="E2" i="5"/>
  <c r="E36" i="5"/>
  <c r="O36" i="9"/>
  <c r="R36" i="9"/>
  <c r="T36" i="9"/>
  <c r="E2" i="1"/>
  <c r="E36" i="1"/>
  <c r="X2" i="9"/>
  <c r="N36" i="8"/>
  <c r="N2" i="8"/>
  <c r="N36" i="7"/>
  <c r="N2" i="7"/>
  <c r="X36" i="6"/>
  <c r="X2" i="6"/>
  <c r="X2" i="5"/>
  <c r="X36" i="5"/>
  <c r="X2" i="4"/>
  <c r="X36" i="4"/>
  <c r="E33" i="8"/>
  <c r="E32" i="8"/>
  <c r="E34" i="8"/>
  <c r="E45" i="8"/>
  <c r="F2" i="5" l="1"/>
  <c r="F36" i="5"/>
  <c r="F2" i="9"/>
  <c r="F36" i="9"/>
  <c r="G2" i="4"/>
  <c r="G36" i="4"/>
  <c r="F2" i="1"/>
  <c r="F36" i="1"/>
  <c r="Y2" i="9"/>
  <c r="Y36" i="9"/>
  <c r="O36" i="8"/>
  <c r="O2" i="8"/>
  <c r="O36" i="7"/>
  <c r="O2" i="7"/>
  <c r="Y36" i="6"/>
  <c r="Y2" i="6"/>
  <c r="Y36" i="5"/>
  <c r="Y2" i="5"/>
  <c r="Y36" i="4"/>
  <c r="Y2" i="4"/>
  <c r="F34" i="8"/>
  <c r="F45" i="8"/>
  <c r="F32" i="8"/>
  <c r="F33" i="8"/>
  <c r="G2" i="9" l="1"/>
  <c r="G36" i="9"/>
  <c r="H2" i="4"/>
  <c r="H36" i="4"/>
  <c r="G2" i="5"/>
  <c r="G36" i="5"/>
  <c r="Z36" i="9"/>
  <c r="Z2" i="9"/>
  <c r="P36" i="8"/>
  <c r="P2" i="8"/>
  <c r="P36" i="7"/>
  <c r="P2" i="7"/>
  <c r="Z36" i="6"/>
  <c r="Z2" i="6"/>
  <c r="Z36" i="5"/>
  <c r="Z2" i="5"/>
  <c r="Z36" i="4"/>
  <c r="Z2" i="4"/>
  <c r="G2" i="1"/>
  <c r="G36" i="1"/>
  <c r="G34" i="8"/>
  <c r="G45" i="8"/>
  <c r="G33" i="8"/>
  <c r="G32" i="8"/>
  <c r="AA36" i="5" l="1"/>
  <c r="AA2" i="5"/>
  <c r="Q36" i="7"/>
  <c r="Q2" i="7"/>
  <c r="I2" i="4"/>
  <c r="I36" i="4"/>
  <c r="AA36" i="4"/>
  <c r="AA2" i="4"/>
  <c r="AA36" i="6"/>
  <c r="AA2" i="6"/>
  <c r="Q36" i="8"/>
  <c r="Q2" i="8"/>
  <c r="H2" i="5"/>
  <c r="H36" i="5"/>
  <c r="H2" i="9"/>
  <c r="H36" i="9"/>
  <c r="AA36" i="9"/>
  <c r="AA2" i="9"/>
  <c r="H2" i="1"/>
  <c r="H36" i="1"/>
  <c r="H32" i="8"/>
  <c r="H34" i="8"/>
  <c r="H45" i="8"/>
  <c r="H33" i="8"/>
  <c r="AB36" i="9" l="1"/>
  <c r="AB2" i="9"/>
  <c r="R36" i="8"/>
  <c r="V36" i="8" s="1"/>
  <c r="R2" i="8"/>
  <c r="R36" i="7"/>
  <c r="V36" i="7" s="1"/>
  <c r="R2" i="7"/>
  <c r="AB36" i="6"/>
  <c r="AF36" i="6" s="1"/>
  <c r="AB2" i="6"/>
  <c r="AB36" i="5"/>
  <c r="AF36" i="5" s="1"/>
  <c r="AB2" i="5"/>
  <c r="AB36" i="4"/>
  <c r="AF36" i="4" s="1"/>
  <c r="AB2" i="4"/>
  <c r="I2" i="9"/>
  <c r="I36" i="9"/>
  <c r="I2" i="5"/>
  <c r="I36" i="5"/>
  <c r="J2" i="4"/>
  <c r="J36" i="4"/>
  <c r="I2" i="1"/>
  <c r="I36" i="1"/>
  <c r="I33" i="8"/>
  <c r="I32" i="8"/>
  <c r="I34" i="8"/>
  <c r="I45" i="8"/>
  <c r="J2" i="5" l="1"/>
  <c r="J36" i="5"/>
  <c r="K2" i="4"/>
  <c r="L36" i="4" s="1"/>
  <c r="K36" i="4"/>
  <c r="J2" i="9"/>
  <c r="J36" i="9"/>
  <c r="J2" i="1"/>
  <c r="J36" i="1"/>
  <c r="J33" i="8"/>
  <c r="J32" i="8"/>
  <c r="J34" i="8"/>
  <c r="J45" i="8"/>
  <c r="K2" i="9" l="1"/>
  <c r="L36" i="9" s="1"/>
  <c r="K36" i="9"/>
  <c r="K2" i="5"/>
  <c r="L36" i="5" s="1"/>
  <c r="K36" i="5"/>
  <c r="K2" i="1"/>
  <c r="K36" i="1"/>
  <c r="K32" i="8"/>
  <c r="K34" i="8"/>
  <c r="K45" i="8"/>
  <c r="K33" i="8"/>
  <c r="L2" i="1" l="1"/>
  <c r="L36" i="1"/>
  <c r="L32" i="8"/>
  <c r="L34" i="8"/>
  <c r="L45" i="8"/>
  <c r="L33" i="8"/>
  <c r="M2" i="1" l="1"/>
  <c r="M36" i="1"/>
  <c r="N2" i="1" l="1"/>
  <c r="N36" i="1"/>
  <c r="O2" i="1" l="1"/>
  <c r="O36" i="1"/>
  <c r="P2" i="1" l="1"/>
  <c r="P36" i="1"/>
  <c r="Q2" i="1" l="1"/>
  <c r="Q36" i="1"/>
  <c r="R2" i="1" l="1"/>
  <c r="R36" i="1"/>
  <c r="S2" i="1" l="1"/>
  <c r="S36" i="1"/>
  <c r="T2" i="1" l="1"/>
  <c r="T36" i="1"/>
  <c r="U2" i="1" l="1"/>
  <c r="U36" i="1"/>
  <c r="V2" i="1" l="1"/>
  <c r="V36" i="1"/>
  <c r="W36" i="1" l="1"/>
  <c r="AD36" i="1"/>
  <c r="W2" i="1"/>
  <c r="X36" i="1" l="1"/>
  <c r="X2" i="1"/>
  <c r="Y36" i="1" l="1"/>
  <c r="Y2" i="1"/>
  <c r="Z2" i="1" l="1"/>
  <c r="Z36" i="1"/>
  <c r="AA36" i="1" l="1"/>
  <c r="AA2" i="1"/>
  <c r="AB36" i="1" s="1"/>
</calcChain>
</file>

<file path=xl/comments1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6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7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sharedStrings.xml><?xml version="1.0" encoding="utf-8"?>
<sst xmlns="http://schemas.openxmlformats.org/spreadsheetml/2006/main" count="763" uniqueCount="89">
  <si>
    <t>Aargau</t>
  </si>
  <si>
    <t>---</t>
  </si>
  <si>
    <t>Appenzell A. Rh.</t>
  </si>
  <si>
    <t xml:space="preserve"> ---</t>
  </si>
  <si>
    <t>Appenzell I. Rh.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</si>
  <si>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</si>
  <si>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</si>
  <si>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</si>
  <si>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</si>
  <si>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</si>
  <si>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</si>
  <si>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</si>
  <si>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</si>
  <si>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</si>
  <si>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</si>
  <si>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</si>
  <si>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</si>
  <si>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</si>
  <si>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</si>
  <si>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</si>
  <si>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</si>
  <si>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</si>
  <si>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</si>
  <si>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</si>
  <si>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</si>
  <si>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</si>
  <si>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</si>
  <si>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</si>
  <si>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 xml:space="preserve"> </t>
  </si>
  <si>
    <t>Source : Info de la CACSFC</t>
  </si>
  <si>
    <t>Meilleure valeur</t>
  </si>
  <si>
    <t>Moins bonne valeur</t>
  </si>
  <si>
    <t>Canton/Indicateur</t>
  </si>
  <si>
    <t>DA</t>
  </si>
  <si>
    <t>Année</t>
  </si>
  <si>
    <t>Valeurs indicatives - Degré d'autofinancement</t>
  </si>
  <si>
    <t xml:space="preserve">         &gt; 100 %           idéal</t>
  </si>
  <si>
    <t>70 % -  100 %       bon à acceptable</t>
  </si>
  <si>
    <t xml:space="preserve">          &lt;   70 %     problématique</t>
  </si>
  <si>
    <t>Contrôle</t>
  </si>
  <si>
    <t>CA</t>
  </si>
  <si>
    <t>Valeurs indicatives - Capacité d'autofinancement</t>
  </si>
  <si>
    <t xml:space="preserve">         &gt;  20 %        bonne</t>
  </si>
  <si>
    <t>10 % -  20 %       moyenne</t>
  </si>
  <si>
    <t xml:space="preserve">          &lt;  10 %      faible</t>
  </si>
  <si>
    <t>QI</t>
  </si>
  <si>
    <t>Valeurs indicatives - Quotité des intérêts</t>
  </si>
  <si>
    <t xml:space="preserve">        &lt;  2 %                faible</t>
  </si>
  <si>
    <t>2 %  -  5 %       moyenne</t>
  </si>
  <si>
    <t>5 %  -  8 %           forte</t>
  </si>
  <si>
    <t xml:space="preserve">        &gt;  8 %            très forte</t>
  </si>
  <si>
    <t>QCF</t>
  </si>
  <si>
    <t>Valeurs indicatives - Quotité de la charge financière</t>
  </si>
  <si>
    <t xml:space="preserve">         &lt;  5 %             faible</t>
  </si>
  <si>
    <t>5 %  -  15 %       supportable</t>
  </si>
  <si>
    <t>15 %  -  25 %      élevée à très élevée</t>
  </si>
  <si>
    <t xml:space="preserve">          &gt;  25 %            à peine supportable</t>
  </si>
  <si>
    <t>EBR</t>
  </si>
  <si>
    <t>Valeurs indicatives - dette brute sur revenus</t>
  </si>
  <si>
    <t xml:space="preserve">          &lt;  50 %         très bon</t>
  </si>
  <si>
    <t>50 %  -  100 %         bon</t>
  </si>
  <si>
    <t>100 %  -  150 %       moyen</t>
  </si>
  <si>
    <t>150 %  -  200 %   mauvais</t>
  </si>
  <si>
    <t xml:space="preserve">            &gt;  200 %   critique</t>
  </si>
  <si>
    <t>Valeurs indicatives - quotité d'investissement</t>
  </si>
  <si>
    <t xml:space="preserve">           &lt;  10 %        peu importantes</t>
  </si>
  <si>
    <t>10 %  -  20 %       importance moyenne</t>
  </si>
  <si>
    <t>20 %  -  30 %      importantes</t>
  </si>
  <si>
    <t xml:space="preserve">          &gt;  30 %         très importantes</t>
  </si>
  <si>
    <t>EH</t>
  </si>
  <si>
    <t>Valeurs indicatives - dette nette par habitant</t>
  </si>
  <si>
    <t xml:space="preserve">          &lt;  1'000          faible</t>
  </si>
  <si>
    <t>1'000  -  3'000        moyen</t>
  </si>
  <si>
    <t>3'000  -  5'000        haut</t>
  </si>
  <si>
    <t xml:space="preserve">          &gt;  5'000       très haut</t>
  </si>
  <si>
    <t>Remarque :</t>
  </si>
  <si>
    <t>Nous n'avons pas repris les remarques individuelles des cantons liées aux indicateurs.</t>
  </si>
  <si>
    <t>Pour une analyse de détail, veuillez vous référer aux commentaires du journal Info.</t>
  </si>
  <si>
    <t xml:space="preserve"> --</t>
  </si>
  <si>
    <t>--</t>
  </si>
  <si>
    <t>Médiane/Median CH</t>
  </si>
  <si>
    <t>Moyenne/Mittelwert CH</t>
  </si>
  <si>
    <t>Moyenne/Mittelswert CH</t>
  </si>
  <si>
    <t>Canton/Année</t>
  </si>
  <si>
    <t>F.Gasser, E. Gruber, janvier 2020</t>
  </si>
  <si>
    <t>1991/18</t>
  </si>
  <si>
    <t>2001/18</t>
  </si>
  <si>
    <t>2018-15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</si>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</sst>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3" fillId="0" borderId="0" xfId="0" applyFont="1"/>
    <xf numFmtId="0" fontId="1" fillId="0" borderId="0" xfId="0" applyFont="1"/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164" fontId="2" fillId="0" borderId="0" xfId="0" applyNumberFormat="1" applyFont="1"/>
    <xf numFmtId="3" fontId="2" fillId="3" borderId="3" xfId="0" applyNumberFormat="1" applyFont="1" applyFill="1" applyBorder="1" applyAlignment="1">
      <alignment horizontal="right" wrapText="1"/>
    </xf>
    <xf numFmtId="0" fontId="5" fillId="0" borderId="0" xfId="0" applyFont="1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/>
    <xf numFmtId="1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/>
    <xf numFmtId="10" fontId="2" fillId="0" borderId="0" xfId="0" applyNumberFormat="1" applyFont="1"/>
    <xf numFmtId="165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/>
    <xf numFmtId="0" fontId="2" fillId="0" borderId="0" xfId="0" quotePrefix="1" applyFont="1" applyFill="1"/>
    <xf numFmtId="1" fontId="2" fillId="0" borderId="0" xfId="0" applyNumberFormat="1" applyFont="1" applyFill="1"/>
    <xf numFmtId="1" fontId="2" fillId="0" borderId="0" xfId="1" applyNumberFormat="1" applyFont="1"/>
  </cellXfs>
  <cellStyles count="2">
    <cellStyle name="Normal" xfId="0" builtinId="0"/>
    <cellStyle name="Pourcentage" xfId="1" builtinId="5"/>
  </cellStyles>
  <dxfs count="33"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FF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76337583978589E-2"/>
          <c:y val="0.16630726547589264"/>
          <c:w val="0.93256616394290481"/>
          <c:h val="0.66522906190357056"/>
        </c:manualLayout>
      </c:layout>
      <c:lineChart>
        <c:grouping val="standard"/>
        <c:varyColors val="0"/>
        <c:ser>
          <c:idx val="1"/>
          <c:order val="0"/>
          <c:tx>
            <c:strRef>
              <c:f>'Degré d''autofinancement'!$A$32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'Degré d''autofinancement'!$B$2:$AC$2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'Degré d''autofinancement'!$B$32:$AC$32</c:f>
              <c:numCache>
                <c:formatCode>0.0</c:formatCode>
                <c:ptCount val="20"/>
                <c:pt idx="0">
                  <c:v>106.5</c:v>
                </c:pt>
                <c:pt idx="1">
                  <c:v>125.4</c:v>
                </c:pt>
                <c:pt idx="2">
                  <c:v>115.55</c:v>
                </c:pt>
                <c:pt idx="3">
                  <c:v>146</c:v>
                </c:pt>
                <c:pt idx="4">
                  <c:v>111.85</c:v>
                </c:pt>
                <c:pt idx="5">
                  <c:v>126.9</c:v>
                </c:pt>
                <c:pt idx="6">
                  <c:v>124.25</c:v>
                </c:pt>
                <c:pt idx="7">
                  <c:v>126.9</c:v>
                </c:pt>
                <c:pt idx="8">
                  <c:v>135.85</c:v>
                </c:pt>
                <c:pt idx="9">
                  <c:v>128.185</c:v>
                </c:pt>
                <c:pt idx="10">
                  <c:v>123.49</c:v>
                </c:pt>
                <c:pt idx="11">
                  <c:v>107.55</c:v>
                </c:pt>
                <c:pt idx="12">
                  <c:v>107.75</c:v>
                </c:pt>
                <c:pt idx="13">
                  <c:v>81.375</c:v>
                </c:pt>
                <c:pt idx="14">
                  <c:v>90.384999999999991</c:v>
                </c:pt>
                <c:pt idx="15">
                  <c:v>104.25</c:v>
                </c:pt>
                <c:pt idx="16">
                  <c:v>115.5</c:v>
                </c:pt>
                <c:pt idx="17">
                  <c:v>97.18</c:v>
                </c:pt>
                <c:pt idx="18">
                  <c:v>109.75</c:v>
                </c:pt>
                <c:pt idx="19">
                  <c:v>108.3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8-460F-895C-ADE8E70C1375}"/>
            </c:ext>
          </c:extLst>
        </c:ser>
        <c:ser>
          <c:idx val="2"/>
          <c:order val="1"/>
          <c:tx>
            <c:strRef>
              <c:f>'Degré d''autofinancement'!$A$34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'Degré d''autofinancement'!$B$2:$AC$2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'Degré d''autofinancement'!$B$34:$AC$34</c:f>
              <c:numCache>
                <c:formatCode>0.0</c:formatCode>
                <c:ptCount val="20"/>
                <c:pt idx="0">
                  <c:v>118.44782608695652</c:v>
                </c:pt>
                <c:pt idx="1">
                  <c:v>133.52000000000001</c:v>
                </c:pt>
                <c:pt idx="2">
                  <c:v>121.94615384615382</c:v>
                </c:pt>
                <c:pt idx="3">
                  <c:v>148.91538461538465</c:v>
                </c:pt>
                <c:pt idx="4">
                  <c:v>116.06153846153848</c:v>
                </c:pt>
                <c:pt idx="5">
                  <c:v>128.86467592248832</c:v>
                </c:pt>
                <c:pt idx="6">
                  <c:v>125.82141026902241</c:v>
                </c:pt>
                <c:pt idx="7">
                  <c:v>149.26442022925255</c:v>
                </c:pt>
                <c:pt idx="8">
                  <c:v>165.8897534000462</c:v>
                </c:pt>
                <c:pt idx="9">
                  <c:v>147.20468059761515</c:v>
                </c:pt>
                <c:pt idx="10">
                  <c:v>129.81846153846152</c:v>
                </c:pt>
                <c:pt idx="11">
                  <c:v>130.61423076923077</c:v>
                </c:pt>
                <c:pt idx="12">
                  <c:v>117.14153846153847</c:v>
                </c:pt>
                <c:pt idx="13">
                  <c:v>98.61615384615385</c:v>
                </c:pt>
                <c:pt idx="14">
                  <c:v>96.915687800881329</c:v>
                </c:pt>
                <c:pt idx="15">
                  <c:v>126.39451153801934</c:v>
                </c:pt>
                <c:pt idx="16">
                  <c:v>132.60101398601404</c:v>
                </c:pt>
                <c:pt idx="17">
                  <c:v>115.65160839160836</c:v>
                </c:pt>
                <c:pt idx="18">
                  <c:v>120.56523710107477</c:v>
                </c:pt>
                <c:pt idx="19">
                  <c:v>176.29100608557724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8-460F-895C-ADE8E70C1375}"/>
            </c:ext>
          </c:extLst>
        </c:ser>
        <c:ser>
          <c:idx val="0"/>
          <c:order val="2"/>
          <c:tx>
            <c:strRef>
              <c:f>'Degré d''autofinancement'!$A$36</c:f>
              <c:strCache>
                <c:ptCount val="1"/>
                <c:pt idx="0">
                  <c:v>Aargau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'Degré d''autofinancement'!$B$2:$AC$2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'Degré d''autofinancement'!$B$36:$AC$36</c:f>
              <c:numCache>
                <c:formatCode>#,##0.0</c:formatCode>
                <c:ptCount val="20"/>
                <c:pt idx="0">
                  <c:v>108.4</c:v>
                </c:pt>
                <c:pt idx="1">
                  <c:v>128.9</c:v>
                </c:pt>
                <c:pt idx="2">
                  <c:v>127.6</c:v>
                </c:pt>
                <c:pt idx="3">
                  <c:v>119.3</c:v>
                </c:pt>
                <c:pt idx="4">
                  <c:v>149.19999999999999</c:v>
                </c:pt>
                <c:pt idx="5">
                  <c:v>134.6</c:v>
                </c:pt>
                <c:pt idx="6">
                  <c:v>112</c:v>
                </c:pt>
                <c:pt idx="7">
                  <c:v>138.6</c:v>
                </c:pt>
                <c:pt idx="8">
                  <c:v>117.2</c:v>
                </c:pt>
                <c:pt idx="9">
                  <c:v>120.1</c:v>
                </c:pt>
                <c:pt idx="10">
                  <c:v>118.6</c:v>
                </c:pt>
                <c:pt idx="11">
                  <c:v>100</c:v>
                </c:pt>
                <c:pt idx="12">
                  <c:v>124.9</c:v>
                </c:pt>
                <c:pt idx="13">
                  <c:v>93.6</c:v>
                </c:pt>
                <c:pt idx="14">
                  <c:v>69</c:v>
                </c:pt>
                <c:pt idx="15">
                  <c:v>64.8</c:v>
                </c:pt>
                <c:pt idx="16">
                  <c:v>69.900000000000006</c:v>
                </c:pt>
                <c:pt idx="17">
                  <c:v>60.5</c:v>
                </c:pt>
                <c:pt idx="18">
                  <c:v>84</c:v>
                </c:pt>
                <c:pt idx="19">
                  <c:v>125.4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18-460F-895C-ADE8E70C1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23136"/>
        <c:axId val="101750272"/>
      </c:lineChart>
      <c:catAx>
        <c:axId val="1017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7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50272"/>
        <c:scaling>
          <c:orientation val="minMax"/>
          <c:max val="1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72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07248168643417"/>
          <c:y val="0.92656905050854454"/>
          <c:w val="0.49588835701725892"/>
          <c:h val="5.18360307976808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08202134271902E-2"/>
          <c:y val="0.17180662934997656"/>
          <c:w val="0.94098473638984415"/>
          <c:h val="0.65859207917491014"/>
        </c:manualLayout>
      </c:layout>
      <c:lineChart>
        <c:grouping val="standard"/>
        <c:varyColors val="0"/>
        <c:ser>
          <c:idx val="1"/>
          <c:order val="0"/>
          <c:tx>
            <c:strRef>
              <c:f>'Capacité d''autofinancement'!$A$32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'Capacité d''autofinancement'!$B$2:$AC$2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'Capacité d''autofinancement'!$B$32:$AC$32</c:f>
              <c:numCache>
                <c:formatCode>0.0</c:formatCode>
                <c:ptCount val="20"/>
                <c:pt idx="0">
                  <c:v>11</c:v>
                </c:pt>
                <c:pt idx="1">
                  <c:v>12.399999999999999</c:v>
                </c:pt>
                <c:pt idx="2">
                  <c:v>11.7</c:v>
                </c:pt>
                <c:pt idx="3">
                  <c:v>12.1</c:v>
                </c:pt>
                <c:pt idx="4">
                  <c:v>11.7</c:v>
                </c:pt>
                <c:pt idx="5">
                  <c:v>11.9</c:v>
                </c:pt>
                <c:pt idx="6">
                  <c:v>10.768104495991285</c:v>
                </c:pt>
                <c:pt idx="7">
                  <c:v>13.5</c:v>
                </c:pt>
                <c:pt idx="8">
                  <c:v>13.4</c:v>
                </c:pt>
                <c:pt idx="9">
                  <c:v>13.02</c:v>
                </c:pt>
                <c:pt idx="10">
                  <c:v>12.25</c:v>
                </c:pt>
                <c:pt idx="11">
                  <c:v>12.1</c:v>
                </c:pt>
                <c:pt idx="12">
                  <c:v>10.7</c:v>
                </c:pt>
                <c:pt idx="13">
                  <c:v>9.23</c:v>
                </c:pt>
                <c:pt idx="14">
                  <c:v>9.49</c:v>
                </c:pt>
                <c:pt idx="15">
                  <c:v>10.370000000000001</c:v>
                </c:pt>
                <c:pt idx="16">
                  <c:v>12.1</c:v>
                </c:pt>
                <c:pt idx="17">
                  <c:v>10.7</c:v>
                </c:pt>
                <c:pt idx="18">
                  <c:v>11.4</c:v>
                </c:pt>
                <c:pt idx="19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5-4F21-9976-592923EC71E5}"/>
            </c:ext>
          </c:extLst>
        </c:ser>
        <c:ser>
          <c:idx val="2"/>
          <c:order val="1"/>
          <c:tx>
            <c:strRef>
              <c:f>'Capacité d''autofinancement'!$A$34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2F55-4F21-9976-592923EC71E5}"/>
              </c:ext>
            </c:extLst>
          </c:dPt>
          <c:cat>
            <c:numRef>
              <c:f>'Capacité d''autofinancement'!$B$2:$AC$2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'Capacité d''autofinancement'!$B$34:$AC$34</c:f>
              <c:numCache>
                <c:formatCode>0.0</c:formatCode>
                <c:ptCount val="20"/>
                <c:pt idx="0">
                  <c:v>10.99090909090909</c:v>
                </c:pt>
                <c:pt idx="1">
                  <c:v>12.575000000000001</c:v>
                </c:pt>
                <c:pt idx="2">
                  <c:v>11.788</c:v>
                </c:pt>
                <c:pt idx="3">
                  <c:v>12.452</c:v>
                </c:pt>
                <c:pt idx="4">
                  <c:v>11.236000000000001</c:v>
                </c:pt>
                <c:pt idx="5">
                  <c:v>11.970871462920364</c:v>
                </c:pt>
                <c:pt idx="6">
                  <c:v>11.206324179839655</c:v>
                </c:pt>
                <c:pt idx="7">
                  <c:v>13.72394225197575</c:v>
                </c:pt>
                <c:pt idx="8">
                  <c:v>13.615852812248614</c:v>
                </c:pt>
                <c:pt idx="9">
                  <c:v>13.560862758464177</c:v>
                </c:pt>
                <c:pt idx="10">
                  <c:v>13.048000000000002</c:v>
                </c:pt>
                <c:pt idx="11">
                  <c:v>12.400094692777049</c:v>
                </c:pt>
                <c:pt idx="12">
                  <c:v>11.208894692777053</c:v>
                </c:pt>
                <c:pt idx="13">
                  <c:v>9.5340000000000007</c:v>
                </c:pt>
                <c:pt idx="14">
                  <c:v>10.105866728048911</c:v>
                </c:pt>
                <c:pt idx="15">
                  <c:v>11.76166436804465</c:v>
                </c:pt>
                <c:pt idx="16">
                  <c:v>12.906153846153845</c:v>
                </c:pt>
                <c:pt idx="17">
                  <c:v>11.448461538461537</c:v>
                </c:pt>
                <c:pt idx="18">
                  <c:v>12.115943537902854</c:v>
                </c:pt>
                <c:pt idx="19">
                  <c:v>12.548557242361271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5-4F21-9976-592923EC71E5}"/>
            </c:ext>
          </c:extLst>
        </c:ser>
        <c:ser>
          <c:idx val="0"/>
          <c:order val="2"/>
          <c:tx>
            <c:strRef>
              <c:f>'Capacité d''autofinancement'!$A$36</c:f>
              <c:strCache>
                <c:ptCount val="1"/>
                <c:pt idx="0">
                  <c:v>Aargau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'Capacité d''autofinancement'!$B$2:$AC$2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'Capacité d''autofinancement'!$B$36:$AC$36</c:f>
              <c:numCache>
                <c:formatCode>#,##0.0</c:formatCode>
                <c:ptCount val="20"/>
                <c:pt idx="0">
                  <c:v>16.2</c:v>
                </c:pt>
                <c:pt idx="1">
                  <c:v>17.3</c:v>
                </c:pt>
                <c:pt idx="2">
                  <c:v>16.7</c:v>
                </c:pt>
                <c:pt idx="3">
                  <c:v>13.8</c:v>
                </c:pt>
                <c:pt idx="4">
                  <c:v>17.100000000000001</c:v>
                </c:pt>
                <c:pt idx="5">
                  <c:v>16.8</c:v>
                </c:pt>
                <c:pt idx="6">
                  <c:v>15.3</c:v>
                </c:pt>
                <c:pt idx="7">
                  <c:v>16.3</c:v>
                </c:pt>
                <c:pt idx="8">
                  <c:v>12.9</c:v>
                </c:pt>
                <c:pt idx="9">
                  <c:v>16.7</c:v>
                </c:pt>
                <c:pt idx="10">
                  <c:v>12.5</c:v>
                </c:pt>
                <c:pt idx="11">
                  <c:v>9.6</c:v>
                </c:pt>
                <c:pt idx="12">
                  <c:v>12.5</c:v>
                </c:pt>
                <c:pt idx="13">
                  <c:v>9.8000000000000007</c:v>
                </c:pt>
                <c:pt idx="14">
                  <c:v>9.4</c:v>
                </c:pt>
                <c:pt idx="15">
                  <c:v>10.1</c:v>
                </c:pt>
                <c:pt idx="16">
                  <c:v>10.4</c:v>
                </c:pt>
                <c:pt idx="17">
                  <c:v>8.5</c:v>
                </c:pt>
                <c:pt idx="18">
                  <c:v>10.8</c:v>
                </c:pt>
                <c:pt idx="19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55-4F21-9976-592923EC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5952"/>
        <c:axId val="104994304"/>
      </c:lineChart>
      <c:catAx>
        <c:axId val="1040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9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0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082003332323415"/>
          <c:y val="0.90118364197530865"/>
          <c:w val="0.55950556662827611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4344348098119E-2"/>
          <c:y val="0.1721858016560639"/>
          <c:w val="0.94877600147825769"/>
          <c:h val="0.65783806273726975"/>
        </c:manualLayout>
      </c:layout>
      <c:lineChart>
        <c:grouping val="standard"/>
        <c:varyColors val="0"/>
        <c:ser>
          <c:idx val="1"/>
          <c:order val="0"/>
          <c:tx>
            <c:strRef>
              <c:f>'Quotité des intérêts'!$A$32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des intérêts'!$B$2:$AC$2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'Quotité des intérêts'!$B$32:$AC$32</c:f>
              <c:numCache>
                <c:formatCode>0.0</c:formatCode>
                <c:ptCount val="20"/>
                <c:pt idx="0">
                  <c:v>2.5</c:v>
                </c:pt>
                <c:pt idx="1">
                  <c:v>2.2000000000000002</c:v>
                </c:pt>
                <c:pt idx="2">
                  <c:v>1.6</c:v>
                </c:pt>
                <c:pt idx="3">
                  <c:v>1.25</c:v>
                </c:pt>
                <c:pt idx="4">
                  <c:v>0.9</c:v>
                </c:pt>
                <c:pt idx="5">
                  <c:v>0.85000000000000009</c:v>
                </c:pt>
                <c:pt idx="6">
                  <c:v>0.35499999999999998</c:v>
                </c:pt>
                <c:pt idx="7">
                  <c:v>5.5000000000000007E-2</c:v>
                </c:pt>
                <c:pt idx="8">
                  <c:v>-0.1</c:v>
                </c:pt>
                <c:pt idx="9">
                  <c:v>-0.45</c:v>
                </c:pt>
                <c:pt idx="10">
                  <c:v>-0.43</c:v>
                </c:pt>
                <c:pt idx="11">
                  <c:v>-0.6</c:v>
                </c:pt>
                <c:pt idx="12">
                  <c:v>-0.8</c:v>
                </c:pt>
                <c:pt idx="13">
                  <c:v>-0.63</c:v>
                </c:pt>
                <c:pt idx="14">
                  <c:v>-0.7</c:v>
                </c:pt>
                <c:pt idx="15">
                  <c:v>-0.56000000000000005</c:v>
                </c:pt>
                <c:pt idx="16">
                  <c:v>-0.26500000000000001</c:v>
                </c:pt>
                <c:pt idx="17">
                  <c:v>0.15000000000000002</c:v>
                </c:pt>
                <c:pt idx="18">
                  <c:v>7.4999999999999997E-2</c:v>
                </c:pt>
                <c:pt idx="1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7-441D-8587-5C7A78D28C6E}"/>
            </c:ext>
          </c:extLst>
        </c:ser>
        <c:ser>
          <c:idx val="0"/>
          <c:order val="1"/>
          <c:tx>
            <c:strRef>
              <c:f>'Quotité des intérêts'!$A$34</c:f>
              <c:strCache>
                <c:ptCount val="1"/>
                <c:pt idx="0">
                  <c:v>Moyenne/Mittelswert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des intérêts'!$B$2:$AC$2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'Quotité des intérêts'!$B$34:$AC$34</c:f>
              <c:numCache>
                <c:formatCode>0.0</c:formatCode>
                <c:ptCount val="20"/>
                <c:pt idx="0">
                  <c:v>2.7652173913043483</c:v>
                </c:pt>
                <c:pt idx="1">
                  <c:v>2.2159999999999997</c:v>
                </c:pt>
                <c:pt idx="2">
                  <c:v>2.134615384615385</c:v>
                </c:pt>
                <c:pt idx="3">
                  <c:v>1.6461538461538465</c:v>
                </c:pt>
                <c:pt idx="4">
                  <c:v>1.1909756695728226</c:v>
                </c:pt>
                <c:pt idx="5">
                  <c:v>0.92988732123700713</c:v>
                </c:pt>
                <c:pt idx="6">
                  <c:v>0.72039873157176126</c:v>
                </c:pt>
                <c:pt idx="7">
                  <c:v>0.34600303587857323</c:v>
                </c:pt>
                <c:pt idx="8">
                  <c:v>8.7037464895366123E-2</c:v>
                </c:pt>
                <c:pt idx="9">
                  <c:v>-0.11656137641886699</c:v>
                </c:pt>
                <c:pt idx="10">
                  <c:v>-0.36199999999999988</c:v>
                </c:pt>
                <c:pt idx="11">
                  <c:v>-0.45264063597186988</c:v>
                </c:pt>
                <c:pt idx="12">
                  <c:v>-0.53984063597186993</c:v>
                </c:pt>
                <c:pt idx="13">
                  <c:v>-0.75449085318392906</c:v>
                </c:pt>
                <c:pt idx="14">
                  <c:v>-0.9598290809496689</c:v>
                </c:pt>
                <c:pt idx="15">
                  <c:v>-0.8290508634814181</c:v>
                </c:pt>
                <c:pt idx="16">
                  <c:v>-0.75458041958041933</c:v>
                </c:pt>
                <c:pt idx="17">
                  <c:v>-0.58692307692307688</c:v>
                </c:pt>
                <c:pt idx="18">
                  <c:v>-0.65620568818166147</c:v>
                </c:pt>
                <c:pt idx="19">
                  <c:v>-0.40817795638272036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7-441D-8587-5C7A78D28C6E}"/>
            </c:ext>
          </c:extLst>
        </c:ser>
        <c:ser>
          <c:idx val="2"/>
          <c:order val="2"/>
          <c:tx>
            <c:strRef>
              <c:f>'Quotité des intérêts'!$A$36</c:f>
              <c:strCache>
                <c:ptCount val="1"/>
                <c:pt idx="0">
                  <c:v>Bern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'Quotité des intérêts'!$B$2:$AC$2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'Quotité des intérêts'!$B$36:$AC$36</c:f>
              <c:numCache>
                <c:formatCode>#,##0.0</c:formatCode>
                <c:ptCount val="20"/>
                <c:pt idx="0">
                  <c:v>1.2</c:v>
                </c:pt>
                <c:pt idx="1">
                  <c:v>1.6</c:v>
                </c:pt>
                <c:pt idx="2">
                  <c:v>1.6</c:v>
                </c:pt>
                <c:pt idx="3">
                  <c:v>1.2</c:v>
                </c:pt>
                <c:pt idx="4">
                  <c:v>0.7</c:v>
                </c:pt>
                <c:pt idx="5">
                  <c:v>0.5</c:v>
                </c:pt>
                <c:pt idx="6">
                  <c:v>0.3</c:v>
                </c:pt>
                <c:pt idx="7">
                  <c:v>-0.2</c:v>
                </c:pt>
                <c:pt idx="8">
                  <c:v>-0.3</c:v>
                </c:pt>
                <c:pt idx="9">
                  <c:v>-0.6</c:v>
                </c:pt>
                <c:pt idx="10">
                  <c:v>-0.39</c:v>
                </c:pt>
                <c:pt idx="11">
                  <c:v>0.3</c:v>
                </c:pt>
                <c:pt idx="12">
                  <c:v>0</c:v>
                </c:pt>
                <c:pt idx="13">
                  <c:v>-0.6</c:v>
                </c:pt>
                <c:pt idx="14">
                  <c:v>-0.5</c:v>
                </c:pt>
                <c:pt idx="15">
                  <c:v>-0.8</c:v>
                </c:pt>
                <c:pt idx="16">
                  <c:v>-1.5</c:v>
                </c:pt>
                <c:pt idx="17">
                  <c:v>0.9</c:v>
                </c:pt>
                <c:pt idx="18">
                  <c:v>0.7</c:v>
                </c:pt>
                <c:pt idx="1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7-441D-8587-5C7A78D28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8864"/>
        <c:axId val="105045376"/>
      </c:lineChart>
      <c:catAx>
        <c:axId val="1044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0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45376"/>
        <c:scaling>
          <c:orientation val="minMax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688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0323672429655"/>
          <c:y val="0.89448971193415638"/>
          <c:w val="0.45508582856507973"/>
          <c:h val="8.56448045267489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56029636851558E-2"/>
          <c:y val="0.17294918946307414"/>
          <c:w val="0.94170847260852253"/>
          <c:h val="0.65632000103935828"/>
        </c:manualLayout>
      </c:layout>
      <c:lineChart>
        <c:grouping val="standard"/>
        <c:varyColors val="0"/>
        <c:ser>
          <c:idx val="1"/>
          <c:order val="0"/>
          <c:tx>
            <c:strRef>
              <c:f>'Quotité de la charge financière'!$A$32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de la charge financière'!$B$2:$AC$2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'Quotité de la charge financière'!$B$32:$AC$32</c:f>
              <c:numCache>
                <c:formatCode>0.0</c:formatCode>
                <c:ptCount val="20"/>
                <c:pt idx="0">
                  <c:v>10</c:v>
                </c:pt>
                <c:pt idx="1">
                  <c:v>9.0500000000000007</c:v>
                </c:pt>
                <c:pt idx="2">
                  <c:v>9.1</c:v>
                </c:pt>
                <c:pt idx="3">
                  <c:v>8.15</c:v>
                </c:pt>
                <c:pt idx="4">
                  <c:v>7.4</c:v>
                </c:pt>
                <c:pt idx="5">
                  <c:v>7.3</c:v>
                </c:pt>
                <c:pt idx="6">
                  <c:v>7.27</c:v>
                </c:pt>
                <c:pt idx="7">
                  <c:v>6.1</c:v>
                </c:pt>
                <c:pt idx="8">
                  <c:v>6.4</c:v>
                </c:pt>
                <c:pt idx="9">
                  <c:v>5.8</c:v>
                </c:pt>
                <c:pt idx="10">
                  <c:v>6</c:v>
                </c:pt>
                <c:pt idx="11">
                  <c:v>5.73</c:v>
                </c:pt>
                <c:pt idx="12">
                  <c:v>5.8</c:v>
                </c:pt>
                <c:pt idx="13">
                  <c:v>5.8</c:v>
                </c:pt>
                <c:pt idx="14">
                  <c:v>6</c:v>
                </c:pt>
                <c:pt idx="15">
                  <c:v>5.7650000000000006</c:v>
                </c:pt>
                <c:pt idx="16">
                  <c:v>5.4</c:v>
                </c:pt>
                <c:pt idx="17">
                  <c:v>5.52</c:v>
                </c:pt>
                <c:pt idx="18">
                  <c:v>5.2</c:v>
                </c:pt>
                <c:pt idx="19">
                  <c:v>5.5350000000000001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C-41EC-99FB-52D6C36C63D2}"/>
            </c:ext>
          </c:extLst>
        </c:ser>
        <c:ser>
          <c:idx val="2"/>
          <c:order val="1"/>
          <c:tx>
            <c:strRef>
              <c:f>'Quotité de la charge financière'!$A$34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de la charge financière'!$B$2:$AC$2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'Quotité de la charge financière'!$B$34:$AC$34</c:f>
              <c:numCache>
                <c:formatCode>0.0</c:formatCode>
                <c:ptCount val="20"/>
                <c:pt idx="0">
                  <c:v>10.35</c:v>
                </c:pt>
                <c:pt idx="1">
                  <c:v>9.963636363636363</c:v>
                </c:pt>
                <c:pt idx="2">
                  <c:v>9.5875000000000004</c:v>
                </c:pt>
                <c:pt idx="3">
                  <c:v>9.1208333333333318</c:v>
                </c:pt>
                <c:pt idx="4">
                  <c:v>8.4577823766980895</c:v>
                </c:pt>
                <c:pt idx="5">
                  <c:v>8.3448596920183444</c:v>
                </c:pt>
                <c:pt idx="6">
                  <c:v>8.0613758027289837</c:v>
                </c:pt>
                <c:pt idx="7">
                  <c:v>8.038575525385113</c:v>
                </c:pt>
                <c:pt idx="8">
                  <c:v>6.706221572304174</c:v>
                </c:pt>
                <c:pt idx="9">
                  <c:v>6.2772132409120456</c:v>
                </c:pt>
                <c:pt idx="10">
                  <c:v>5.8826086956521744</c:v>
                </c:pt>
                <c:pt idx="11">
                  <c:v>6.030643788431183</c:v>
                </c:pt>
                <c:pt idx="12">
                  <c:v>5.9828177014746586</c:v>
                </c:pt>
                <c:pt idx="13">
                  <c:v>5.9826709907320597</c:v>
                </c:pt>
                <c:pt idx="14">
                  <c:v>5.9935312891721573</c:v>
                </c:pt>
                <c:pt idx="15">
                  <c:v>5.7045833333333347</c:v>
                </c:pt>
                <c:pt idx="16">
                  <c:v>5.4083555555555556</c:v>
                </c:pt>
                <c:pt idx="17">
                  <c:v>5.6915111111111107</c:v>
                </c:pt>
                <c:pt idx="18">
                  <c:v>5.9271122599996717</c:v>
                </c:pt>
                <c:pt idx="19">
                  <c:v>6.0389365500218872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C-41EC-99FB-52D6C36C63D2}"/>
            </c:ext>
          </c:extLst>
        </c:ser>
        <c:ser>
          <c:idx val="0"/>
          <c:order val="2"/>
          <c:tx>
            <c:strRef>
              <c:f>'Quotité de la charge financière'!$A$36</c:f>
              <c:strCache>
                <c:ptCount val="1"/>
                <c:pt idx="0">
                  <c:v>Aargau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diamond"/>
            <c:size val="10"/>
            <c:spPr>
              <a:solidFill>
                <a:srgbClr val="000080"/>
              </a:solidFill>
            </c:spPr>
          </c:marker>
          <c:cat>
            <c:numRef>
              <c:f>'Quotité de la charge financière'!$B$2:$AC$2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'Quotité de la charge financière'!$B$36:$AC$36</c:f>
              <c:numCache>
                <c:formatCode>#,##0.0</c:formatCode>
                <c:ptCount val="20"/>
                <c:pt idx="0">
                  <c:v>12.1</c:v>
                </c:pt>
                <c:pt idx="1">
                  <c:v>11.2</c:v>
                </c:pt>
                <c:pt idx="2">
                  <c:v>9.5</c:v>
                </c:pt>
                <c:pt idx="3">
                  <c:v>10</c:v>
                </c:pt>
                <c:pt idx="4">
                  <c:v>9.4</c:v>
                </c:pt>
                <c:pt idx="5">
                  <c:v>7.5</c:v>
                </c:pt>
                <c:pt idx="6">
                  <c:v>5.4</c:v>
                </c:pt>
                <c:pt idx="7">
                  <c:v>4.8</c:v>
                </c:pt>
                <c:pt idx="8">
                  <c:v>7.1</c:v>
                </c:pt>
                <c:pt idx="9">
                  <c:v>6.6</c:v>
                </c:pt>
                <c:pt idx="10">
                  <c:v>6</c:v>
                </c:pt>
                <c:pt idx="11">
                  <c:v>5.6</c:v>
                </c:pt>
                <c:pt idx="12">
                  <c:v>4.9000000000000004</c:v>
                </c:pt>
                <c:pt idx="13">
                  <c:v>4.2</c:v>
                </c:pt>
                <c:pt idx="14">
                  <c:v>3.9</c:v>
                </c:pt>
                <c:pt idx="15">
                  <c:v>7.1</c:v>
                </c:pt>
                <c:pt idx="16">
                  <c:v>7.6</c:v>
                </c:pt>
                <c:pt idx="17">
                  <c:v>7.9</c:v>
                </c:pt>
                <c:pt idx="18">
                  <c:v>7.9</c:v>
                </c:pt>
                <c:pt idx="19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CC-41EC-99FB-52D6C36C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0400"/>
        <c:axId val="105032320"/>
      </c:lineChart>
      <c:catAx>
        <c:axId val="1050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0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2320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030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73565522345099"/>
          <c:y val="0.92461297443720381"/>
          <c:w val="0.34469646510457697"/>
          <c:h val="4.616409465020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13009985123109E-2"/>
          <c:y val="0.17294918946307414"/>
          <c:w val="0.93569784408249557"/>
          <c:h val="0.65632000103935828"/>
        </c:manualLayout>
      </c:layout>
      <c:lineChart>
        <c:grouping val="standard"/>
        <c:varyColors val="0"/>
        <c:ser>
          <c:idx val="1"/>
          <c:order val="0"/>
          <c:tx>
            <c:strRef>
              <c:f>'Endettement brut - revenus'!$A$32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'Endettement brut - revenus'!$B$2:$S$2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'Endettement brut - revenus'!$B$32:$S$32</c:f>
              <c:numCache>
                <c:formatCode>0.0</c:formatCode>
                <c:ptCount val="18"/>
                <c:pt idx="0">
                  <c:v>126.8</c:v>
                </c:pt>
                <c:pt idx="1">
                  <c:v>129.19999999999999</c:v>
                </c:pt>
                <c:pt idx="2">
                  <c:v>121.44999999999999</c:v>
                </c:pt>
                <c:pt idx="3">
                  <c:v>126.25</c:v>
                </c:pt>
                <c:pt idx="4">
                  <c:v>130</c:v>
                </c:pt>
                <c:pt idx="5">
                  <c:v>108.3</c:v>
                </c:pt>
                <c:pt idx="6">
                  <c:v>94.96</c:v>
                </c:pt>
                <c:pt idx="7">
                  <c:v>90.2</c:v>
                </c:pt>
                <c:pt idx="8">
                  <c:v>88.22</c:v>
                </c:pt>
                <c:pt idx="9">
                  <c:v>88.5</c:v>
                </c:pt>
                <c:pt idx="10">
                  <c:v>89.9</c:v>
                </c:pt>
                <c:pt idx="11">
                  <c:v>89.11</c:v>
                </c:pt>
                <c:pt idx="12">
                  <c:v>90.35</c:v>
                </c:pt>
                <c:pt idx="13">
                  <c:v>78.06</c:v>
                </c:pt>
                <c:pt idx="14">
                  <c:v>69.599999999999994</c:v>
                </c:pt>
                <c:pt idx="15">
                  <c:v>79.2</c:v>
                </c:pt>
                <c:pt idx="16">
                  <c:v>82.9</c:v>
                </c:pt>
                <c:pt idx="17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6-48C1-9744-54C40B4D3A4D}"/>
            </c:ext>
          </c:extLst>
        </c:ser>
        <c:ser>
          <c:idx val="2"/>
          <c:order val="1"/>
          <c:tx>
            <c:strRef>
              <c:f>'Endettement brut - revenus'!$A$34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'Endettement brut - revenus'!$B$2:$S$2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'Endettement brut - revenus'!$B$34:$S$34</c:f>
              <c:numCache>
                <c:formatCode>0.0</c:formatCode>
                <c:ptCount val="18"/>
                <c:pt idx="0">
                  <c:v>132.1</c:v>
                </c:pt>
                <c:pt idx="1">
                  <c:v>125.8</c:v>
                </c:pt>
                <c:pt idx="2">
                  <c:v>120.77499999999999</c:v>
                </c:pt>
                <c:pt idx="3">
                  <c:v>120.88894832041319</c:v>
                </c:pt>
                <c:pt idx="4">
                  <c:v>122.72821277849543</c:v>
                </c:pt>
                <c:pt idx="5">
                  <c:v>111.08719762674775</c:v>
                </c:pt>
                <c:pt idx="6">
                  <c:v>100.3073788431977</c:v>
                </c:pt>
                <c:pt idx="7">
                  <c:v>94.910860084024279</c:v>
                </c:pt>
                <c:pt idx="8">
                  <c:v>94.453434924465711</c:v>
                </c:pt>
                <c:pt idx="9">
                  <c:v>91.058120182062538</c:v>
                </c:pt>
                <c:pt idx="10">
                  <c:v>89.804595623436995</c:v>
                </c:pt>
                <c:pt idx="11">
                  <c:v>88.688913466196496</c:v>
                </c:pt>
                <c:pt idx="12">
                  <c:v>90.167379030181763</c:v>
                </c:pt>
                <c:pt idx="13">
                  <c:v>87.5870527855418</c:v>
                </c:pt>
                <c:pt idx="14">
                  <c:v>88.39765486774013</c:v>
                </c:pt>
                <c:pt idx="15">
                  <c:v>91.977129740156272</c:v>
                </c:pt>
                <c:pt idx="16">
                  <c:v>93.027271379046709</c:v>
                </c:pt>
                <c:pt idx="17">
                  <c:v>92.448424806164255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6-48C1-9744-54C40B4D3A4D}"/>
            </c:ext>
          </c:extLst>
        </c:ser>
        <c:ser>
          <c:idx val="0"/>
          <c:order val="2"/>
          <c:tx>
            <c:strRef>
              <c:f>'Endettement brut - revenus'!$A$36</c:f>
              <c:strCache>
                <c:ptCount val="1"/>
                <c:pt idx="0">
                  <c:v>Appenzell I. Rh.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'Endettement brut - revenus'!$B$2:$S$2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'Endettement brut - revenus'!$B$36:$S$36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130</c:v>
                </c:pt>
                <c:pt idx="4">
                  <c:v>142</c:v>
                </c:pt>
                <c:pt idx="5">
                  <c:v>53</c:v>
                </c:pt>
                <c:pt idx="6">
                  <c:v>50</c:v>
                </c:pt>
                <c:pt idx="7">
                  <c:v>40.67</c:v>
                </c:pt>
                <c:pt idx="8">
                  <c:v>39.6</c:v>
                </c:pt>
                <c:pt idx="9">
                  <c:v>25.05</c:v>
                </c:pt>
                <c:pt idx="10">
                  <c:v>25.45</c:v>
                </c:pt>
                <c:pt idx="11">
                  <c:v>22.68</c:v>
                </c:pt>
                <c:pt idx="12">
                  <c:v>20.6</c:v>
                </c:pt>
                <c:pt idx="13">
                  <c:v>24.41</c:v>
                </c:pt>
                <c:pt idx="14">
                  <c:v>44.84</c:v>
                </c:pt>
                <c:pt idx="15">
                  <c:v>41.7</c:v>
                </c:pt>
                <c:pt idx="16">
                  <c:v>36.06</c:v>
                </c:pt>
                <c:pt idx="17">
                  <c:v>41.11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6-48C1-9744-54C40B4D3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1840"/>
        <c:axId val="111253760"/>
      </c:lineChart>
      <c:catAx>
        <c:axId val="1112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2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5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251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973238863863864"/>
          <c:y val="0.90869779353821911"/>
          <c:w val="0.55011746121121119"/>
          <c:h val="8.9146090534979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07115752434705E-2"/>
          <c:y val="0.16740133116151562"/>
          <c:w val="0.94330772129848683"/>
          <c:h val="0.66299737736337094"/>
        </c:manualLayout>
      </c:layout>
      <c:lineChart>
        <c:grouping val="standard"/>
        <c:varyColors val="0"/>
        <c:ser>
          <c:idx val="1"/>
          <c:order val="0"/>
          <c:tx>
            <c:strRef>
              <c:f>'Quotité d''investissement'!$A$32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d''investissement'!$B$2:$R$2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'Quotité d''investissement'!$B$32:$R$32</c:f>
              <c:numCache>
                <c:formatCode>0.0</c:formatCode>
                <c:ptCount val="17"/>
                <c:pt idx="0">
                  <c:v>15.7</c:v>
                </c:pt>
                <c:pt idx="1">
                  <c:v>13.8</c:v>
                </c:pt>
                <c:pt idx="2">
                  <c:v>15.1</c:v>
                </c:pt>
                <c:pt idx="3">
                  <c:v>12.65</c:v>
                </c:pt>
                <c:pt idx="4">
                  <c:v>13.620000000000001</c:v>
                </c:pt>
                <c:pt idx="5">
                  <c:v>14.5</c:v>
                </c:pt>
                <c:pt idx="6">
                  <c:v>13.4</c:v>
                </c:pt>
                <c:pt idx="7">
                  <c:v>15</c:v>
                </c:pt>
                <c:pt idx="8">
                  <c:v>14</c:v>
                </c:pt>
                <c:pt idx="9">
                  <c:v>13.7</c:v>
                </c:pt>
                <c:pt idx="10">
                  <c:v>13.3</c:v>
                </c:pt>
                <c:pt idx="11">
                  <c:v>13.100000000000001</c:v>
                </c:pt>
                <c:pt idx="12">
                  <c:v>13.55</c:v>
                </c:pt>
                <c:pt idx="13">
                  <c:v>14.8</c:v>
                </c:pt>
                <c:pt idx="14">
                  <c:v>15.2</c:v>
                </c:pt>
                <c:pt idx="15">
                  <c:v>13.3</c:v>
                </c:pt>
                <c:pt idx="16">
                  <c:v>14.617272727272727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D-44F2-AC11-DE971E77703B}"/>
            </c:ext>
          </c:extLst>
        </c:ser>
        <c:ser>
          <c:idx val="0"/>
          <c:order val="1"/>
          <c:tx>
            <c:strRef>
              <c:f>'Quotité d''investissement'!$A$34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d''investissement'!$B$2:$R$2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'Quotité d''investissement'!$B$34:$R$34</c:f>
              <c:numCache>
                <c:formatCode>0.0</c:formatCode>
                <c:ptCount val="17"/>
                <c:pt idx="0">
                  <c:v>16.849999999999998</c:v>
                </c:pt>
                <c:pt idx="1">
                  <c:v>14.325000000000001</c:v>
                </c:pt>
                <c:pt idx="2">
                  <c:v>15.5</c:v>
                </c:pt>
                <c:pt idx="3">
                  <c:v>14.762963305614599</c:v>
                </c:pt>
                <c:pt idx="4">
                  <c:v>14.838341950761992</c:v>
                </c:pt>
                <c:pt idx="5">
                  <c:v>14.826775305214344</c:v>
                </c:pt>
                <c:pt idx="6">
                  <c:v>14.936103723850485</c:v>
                </c:pt>
                <c:pt idx="7">
                  <c:v>15.524024692205121</c:v>
                </c:pt>
                <c:pt idx="8">
                  <c:v>15.292608695652172</c:v>
                </c:pt>
                <c:pt idx="9">
                  <c:v>14.722266597319019</c:v>
                </c:pt>
                <c:pt idx="10">
                  <c:v>14.574005727753805</c:v>
                </c:pt>
                <c:pt idx="11">
                  <c:v>14.68241718874067</c:v>
                </c:pt>
                <c:pt idx="12">
                  <c:v>14.268917571134963</c:v>
                </c:pt>
                <c:pt idx="13">
                  <c:v>15.379667785131252</c:v>
                </c:pt>
                <c:pt idx="14">
                  <c:v>15.135871212121209</c:v>
                </c:pt>
                <c:pt idx="15">
                  <c:v>14.518977272727271</c:v>
                </c:pt>
                <c:pt idx="16">
                  <c:v>14.7711834810393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D-44F2-AC11-DE971E77703B}"/>
            </c:ext>
          </c:extLst>
        </c:ser>
        <c:ser>
          <c:idx val="3"/>
          <c:order val="2"/>
          <c:tx>
            <c:strRef>
              <c:f>'Quotité d''investissement'!$A$36</c:f>
              <c:strCache>
                <c:ptCount val="1"/>
                <c:pt idx="0">
                  <c:v>Valais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'Quotité d''investissement'!$B$2:$R$2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'Quotité d''investissement'!$B$36:$R$36</c:f>
              <c:numCache>
                <c:formatCode>#,##0.0</c:formatCode>
                <c:ptCount val="17"/>
                <c:pt idx="0">
                  <c:v>20.9</c:v>
                </c:pt>
                <c:pt idx="1">
                  <c:v>19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20.6</c:v>
                </c:pt>
                <c:pt idx="5">
                  <c:v>22.4</c:v>
                </c:pt>
                <c:pt idx="6">
                  <c:v>23.36</c:v>
                </c:pt>
                <c:pt idx="7">
                  <c:v>25.81</c:v>
                </c:pt>
                <c:pt idx="8">
                  <c:v>22.4</c:v>
                </c:pt>
                <c:pt idx="9">
                  <c:v>23.59</c:v>
                </c:pt>
                <c:pt idx="10">
                  <c:v>24.11</c:v>
                </c:pt>
                <c:pt idx="11">
                  <c:v>28.2</c:v>
                </c:pt>
                <c:pt idx="12">
                  <c:v>26.52</c:v>
                </c:pt>
                <c:pt idx="13">
                  <c:v>25.7947541158773</c:v>
                </c:pt>
                <c:pt idx="14">
                  <c:v>27.82</c:v>
                </c:pt>
                <c:pt idx="15">
                  <c:v>24.87</c:v>
                </c:pt>
                <c:pt idx="16">
                  <c:v>22.51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D-44F2-AC11-DE971E777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3264"/>
        <c:axId val="104445440"/>
      </c:lineChart>
      <c:catAx>
        <c:axId val="1044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43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09205181150709"/>
          <c:y val="0.90118364197530865"/>
          <c:w val="0.45405806339161564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05771405159187E-2"/>
          <c:y val="0.17256665130882815"/>
          <c:w val="0.93580265717485223"/>
          <c:h val="0.65708071075284569"/>
        </c:manualLayout>
      </c:layout>
      <c:lineChart>
        <c:grouping val="standard"/>
        <c:varyColors val="0"/>
        <c:ser>
          <c:idx val="1"/>
          <c:order val="0"/>
          <c:tx>
            <c:strRef>
              <c:f>'Endettement par habitant'!$A$32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'Endettement par habitant'!$B$2:$AB$2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'Endettement par habitant'!$B$32:$AB$32</c:f>
              <c:numCache>
                <c:formatCode>#,##0</c:formatCode>
                <c:ptCount val="20"/>
                <c:pt idx="0">
                  <c:v>3630</c:v>
                </c:pt>
                <c:pt idx="1">
                  <c:v>3302</c:v>
                </c:pt>
                <c:pt idx="2">
                  <c:v>2542</c:v>
                </c:pt>
                <c:pt idx="3">
                  <c:v>2505</c:v>
                </c:pt>
                <c:pt idx="4">
                  <c:v>2134</c:v>
                </c:pt>
                <c:pt idx="5">
                  <c:v>2316</c:v>
                </c:pt>
                <c:pt idx="6">
                  <c:v>1974</c:v>
                </c:pt>
                <c:pt idx="7">
                  <c:v>1858</c:v>
                </c:pt>
                <c:pt idx="8">
                  <c:v>1744.5</c:v>
                </c:pt>
                <c:pt idx="9">
                  <c:v>1520</c:v>
                </c:pt>
                <c:pt idx="10">
                  <c:v>1660</c:v>
                </c:pt>
                <c:pt idx="11">
                  <c:v>1426</c:v>
                </c:pt>
                <c:pt idx="12">
                  <c:v>1388.8</c:v>
                </c:pt>
                <c:pt idx="13">
                  <c:v>1091</c:v>
                </c:pt>
                <c:pt idx="14">
                  <c:v>1157.645</c:v>
                </c:pt>
                <c:pt idx="15">
                  <c:v>1313</c:v>
                </c:pt>
                <c:pt idx="16">
                  <c:v>1412.4349999999999</c:v>
                </c:pt>
                <c:pt idx="17">
                  <c:v>992</c:v>
                </c:pt>
                <c:pt idx="18">
                  <c:v>679</c:v>
                </c:pt>
                <c:pt idx="19">
                  <c:v>456.29089768944459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6-4797-9F7A-F1AF68090AD2}"/>
            </c:ext>
          </c:extLst>
        </c:ser>
        <c:ser>
          <c:idx val="2"/>
          <c:order val="1"/>
          <c:tx>
            <c:strRef>
              <c:f>'Endettement par habitant'!$A$34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'Endettement par habitant'!$B$2:$AB$2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'Endettement par habitant'!$B$34:$AB$34</c:f>
              <c:numCache>
                <c:formatCode>#,##0</c:formatCode>
                <c:ptCount val="20"/>
                <c:pt idx="0">
                  <c:v>3856.1304347826085</c:v>
                </c:pt>
                <c:pt idx="1">
                  <c:v>3847.7391304347825</c:v>
                </c:pt>
                <c:pt idx="2">
                  <c:v>3524.64</c:v>
                </c:pt>
                <c:pt idx="3">
                  <c:v>3428.8</c:v>
                </c:pt>
                <c:pt idx="4">
                  <c:v>3290.4</c:v>
                </c:pt>
                <c:pt idx="5">
                  <c:v>3215.6</c:v>
                </c:pt>
                <c:pt idx="6">
                  <c:v>3090.3253222357475</c:v>
                </c:pt>
                <c:pt idx="7">
                  <c:v>2756.3510875925499</c:v>
                </c:pt>
                <c:pt idx="8">
                  <c:v>2416.4263543030652</c:v>
                </c:pt>
                <c:pt idx="9">
                  <c:v>2070.5208579484311</c:v>
                </c:pt>
                <c:pt idx="10">
                  <c:v>1907.634047160821</c:v>
                </c:pt>
                <c:pt idx="11">
                  <c:v>1780.5296000000003</c:v>
                </c:pt>
                <c:pt idx="12">
                  <c:v>1427.3267999999998</c:v>
                </c:pt>
                <c:pt idx="13">
                  <c:v>1302.4046153846152</c:v>
                </c:pt>
                <c:pt idx="14">
                  <c:v>1326.0710652252956</c:v>
                </c:pt>
                <c:pt idx="15">
                  <c:v>1328.5968089548853</c:v>
                </c:pt>
                <c:pt idx="16">
                  <c:v>1147.2911538461537</c:v>
                </c:pt>
                <c:pt idx="17">
                  <c:v>819.29153846153849</c:v>
                </c:pt>
                <c:pt idx="18">
                  <c:v>729.35692307692318</c:v>
                </c:pt>
                <c:pt idx="19">
                  <c:v>671.32506905303421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6-4797-9F7A-F1AF68090AD2}"/>
            </c:ext>
          </c:extLst>
        </c:ser>
        <c:ser>
          <c:idx val="0"/>
          <c:order val="2"/>
          <c:tx>
            <c:strRef>
              <c:f>'Endettement par habitant'!$A$36</c:f>
              <c:strCache>
                <c:ptCount val="1"/>
                <c:pt idx="0">
                  <c:v>Appenzell I. Rh.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'Endettement par habitant'!$B$2:$AB$2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'Endettement par habitant'!$B$36:$AB$36</c:f>
              <c:numCache>
                <c:formatCode>#,##0</c:formatCode>
                <c:ptCount val="20"/>
                <c:pt idx="0">
                  <c:v>185</c:v>
                </c:pt>
                <c:pt idx="1">
                  <c:v>153</c:v>
                </c:pt>
                <c:pt idx="2">
                  <c:v>116</c:v>
                </c:pt>
                <c:pt idx="3">
                  <c:v>124</c:v>
                </c:pt>
                <c:pt idx="4">
                  <c:v>157</c:v>
                </c:pt>
                <c:pt idx="5">
                  <c:v>268</c:v>
                </c:pt>
                <c:pt idx="6">
                  <c:v>360</c:v>
                </c:pt>
                <c:pt idx="7">
                  <c:v>445</c:v>
                </c:pt>
                <c:pt idx="8">
                  <c:v>0</c:v>
                </c:pt>
                <c:pt idx="9">
                  <c:v>-994</c:v>
                </c:pt>
                <c:pt idx="10">
                  <c:v>-1039</c:v>
                </c:pt>
                <c:pt idx="11">
                  <c:v>-925</c:v>
                </c:pt>
                <c:pt idx="12">
                  <c:v>-1884</c:v>
                </c:pt>
                <c:pt idx="13">
                  <c:v>-1894</c:v>
                </c:pt>
                <c:pt idx="14">
                  <c:v>-1847</c:v>
                </c:pt>
                <c:pt idx="15">
                  <c:v>-1870</c:v>
                </c:pt>
                <c:pt idx="16">
                  <c:v>-2733</c:v>
                </c:pt>
                <c:pt idx="17">
                  <c:v>-4733</c:v>
                </c:pt>
                <c:pt idx="18">
                  <c:v>-4410</c:v>
                </c:pt>
                <c:pt idx="19">
                  <c:v>-4714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6-4797-9F7A-F1AF68090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7328"/>
        <c:axId val="112469504"/>
      </c:lineChart>
      <c:catAx>
        <c:axId val="1124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4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6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46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604402053112429"/>
          <c:y val="0.89759439300411514"/>
          <c:w val="0.46823600342453364"/>
          <c:h val="8.24956275720164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7</xdr:col>
      <xdr:colOff>563880</xdr:colOff>
      <xdr:row>5</xdr:row>
      <xdr:rowOff>30480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76200" y="198120"/>
          <a:ext cx="592074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0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KONFERENZ DER KANTONALEN AUFSICHTSSTELLEN ÜBER DIE GEMEINDEFINANZEN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CONFERENCE DES AUTORITES CANTONALES DE SURVEILLANCE DES FINANCES COMMUNALES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DELLE AUTORITÀ DI VIGILANZA SULLE FINANZE DEI COMUNI</a:t>
          </a:r>
        </a:p>
        <a:p>
          <a:pPr algn="l" rtl="0">
            <a:lnSpc>
              <a:spcPts val="900"/>
            </a:lnSpc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DA LAS AUTORITADS DA SURVEGLIANZA CHANTUNALAS SUR LAS FINANZAS COMMUNALAS</a:t>
          </a:r>
        </a:p>
        <a:p>
          <a:pPr algn="l" rtl="0">
            <a:lnSpc>
              <a:spcPts val="1100"/>
            </a:lnSpc>
            <a:defRPr sz="1000"/>
          </a:pPr>
          <a:endParaRPr lang="de-CH"/>
        </a:p>
      </xdr:txBody>
    </xdr:sp>
    <xdr:clientData/>
  </xdr:twoCellAnchor>
  <xdr:twoCellAnchor>
    <xdr:from>
      <xdr:col>0</xdr:col>
      <xdr:colOff>106680</xdr:colOff>
      <xdr:row>7</xdr:row>
      <xdr:rowOff>38100</xdr:rowOff>
    </xdr:from>
    <xdr:to>
      <xdr:col>3</xdr:col>
      <xdr:colOff>762000</xdr:colOff>
      <xdr:row>16</xdr:row>
      <xdr:rowOff>60960</xdr:rowOff>
    </xdr:to>
    <xdr:pic>
      <xdr:nvPicPr>
        <xdr:cNvPr id="9219" name="Picture 3" descr="KK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211580"/>
          <a:ext cx="303276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21</xdr:row>
      <xdr:rowOff>144780</xdr:rowOff>
    </xdr:from>
    <xdr:to>
      <xdr:col>6</xdr:col>
      <xdr:colOff>320040</xdr:colOff>
      <xdr:row>36</xdr:row>
      <xdr:rowOff>60960</xdr:rowOff>
    </xdr:to>
    <xdr:pic>
      <xdr:nvPicPr>
        <xdr:cNvPr id="9220" name="Picture 4" descr="LOGO-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3665220"/>
          <a:ext cx="4282440" cy="243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76200</xdr:rowOff>
        </xdr:from>
        <xdr:to>
          <xdr:col>9</xdr:col>
          <xdr:colOff>266700</xdr:colOff>
          <xdr:row>36</xdr:row>
          <xdr:rowOff>57150</xdr:rowOff>
        </xdr:to>
        <xdr:sp macro="" textlink="">
          <xdr:nvSpPr>
            <xdr:cNvPr id="3116" name="Group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38100</xdr:colOff>
      <xdr:row>47</xdr:row>
      <xdr:rowOff>110490</xdr:rowOff>
    </xdr:from>
    <xdr:to>
      <xdr:col>21</xdr:col>
      <xdr:colOff>164250</xdr:colOff>
      <xdr:row>65</xdr:row>
      <xdr:rowOff>76740</xdr:rowOff>
    </xdr:to>
    <xdr:graphicFrame macro="">
      <xdr:nvGraphicFramePr>
        <xdr:cNvPr id="3074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47</xdr:row>
      <xdr:rowOff>102869</xdr:rowOff>
    </xdr:from>
    <xdr:to>
      <xdr:col>25</xdr:col>
      <xdr:colOff>200025</xdr:colOff>
      <xdr:row>70</xdr:row>
      <xdr:rowOff>38100</xdr:rowOff>
    </xdr:to>
    <xdr:graphicFrame macro="">
      <xdr:nvGraphicFramePr>
        <xdr:cNvPr id="409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76200</xdr:rowOff>
        </xdr:from>
        <xdr:to>
          <xdr:col>9</xdr:col>
          <xdr:colOff>285750</xdr:colOff>
          <xdr:row>36</xdr:row>
          <xdr:rowOff>57150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47</xdr:row>
      <xdr:rowOff>7619</xdr:rowOff>
    </xdr:from>
    <xdr:to>
      <xdr:col>22</xdr:col>
      <xdr:colOff>190500</xdr:colOff>
      <xdr:row>71</xdr:row>
      <xdr:rowOff>142874</xdr:rowOff>
    </xdr:to>
    <xdr:graphicFrame macro="">
      <xdr:nvGraphicFramePr>
        <xdr:cNvPr id="512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9</xdr:col>
          <xdr:colOff>285750</xdr:colOff>
          <xdr:row>36</xdr:row>
          <xdr:rowOff>57150</xdr:rowOff>
        </xdr:to>
        <xdr:sp macro="" textlink="">
          <xdr:nvSpPr>
            <xdr:cNvPr id="5167" name="Group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22858</xdr:colOff>
      <xdr:row>47</xdr:row>
      <xdr:rowOff>15240</xdr:rowOff>
    </xdr:from>
    <xdr:to>
      <xdr:col>24</xdr:col>
      <xdr:colOff>123825</xdr:colOff>
      <xdr:row>78</xdr:row>
      <xdr:rowOff>66675</xdr:rowOff>
    </xdr:to>
    <xdr:graphicFrame macro="">
      <xdr:nvGraphicFramePr>
        <xdr:cNvPr id="614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9</xdr:col>
          <xdr:colOff>285750</xdr:colOff>
          <xdr:row>36</xdr:row>
          <xdr:rowOff>57150</xdr:rowOff>
        </xdr:to>
        <xdr:sp macro="" textlink="">
          <xdr:nvSpPr>
            <xdr:cNvPr id="6194" name="Group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48</xdr:row>
      <xdr:rowOff>15240</xdr:rowOff>
    </xdr:from>
    <xdr:to>
      <xdr:col>13</xdr:col>
      <xdr:colOff>4230</xdr:colOff>
      <xdr:row>65</xdr:row>
      <xdr:rowOff>124365</xdr:rowOff>
    </xdr:to>
    <xdr:graphicFrame macro="">
      <xdr:nvGraphicFramePr>
        <xdr:cNvPr id="716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7209" name="Group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47</xdr:row>
      <xdr:rowOff>0</xdr:rowOff>
    </xdr:from>
    <xdr:to>
      <xdr:col>19</xdr:col>
      <xdr:colOff>142875</xdr:colOff>
      <xdr:row>70</xdr:row>
      <xdr:rowOff>85725</xdr:rowOff>
    </xdr:to>
    <xdr:graphicFrame macro="">
      <xdr:nvGraphicFramePr>
        <xdr:cNvPr id="819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8225" name="Group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127809</xdr:rowOff>
    </xdr:from>
    <xdr:to>
      <xdr:col>19</xdr:col>
      <xdr:colOff>219075</xdr:colOff>
      <xdr:row>70</xdr:row>
      <xdr:rowOff>41564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8</xdr:col>
          <xdr:colOff>285750</xdr:colOff>
          <xdr:row>36</xdr:row>
          <xdr:rowOff>57150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2:B54"/>
  <sheetViews>
    <sheetView zoomScaleNormal="100" workbookViewId="0">
      <selection activeCell="E53" sqref="E53"/>
    </sheetView>
  </sheetViews>
  <sheetFormatPr baseColWidth="10" defaultRowHeight="12.75" x14ac:dyDescent="0.2"/>
  <cols>
    <col min="8" max="8" width="6.5703125" customWidth="1"/>
  </cols>
  <sheetData>
    <row r="42" spans="1:2" x14ac:dyDescent="0.2">
      <c r="A42" t="s">
        <v>75</v>
      </c>
      <c r="B42" t="s">
        <v>76</v>
      </c>
    </row>
    <row r="43" spans="1:2" x14ac:dyDescent="0.2">
      <c r="B43" t="s">
        <v>77</v>
      </c>
    </row>
    <row r="54" spans="1:1" x14ac:dyDescent="0.2">
      <c r="A54" s="27" t="s">
        <v>84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zoomScaleNormal="100" workbookViewId="0">
      <pane ySplit="1" topLeftCell="A2" activePane="bottomLeft" state="frozen"/>
      <selection pane="bottomLeft" activeCell="Z31" sqref="Z31"/>
    </sheetView>
  </sheetViews>
  <sheetFormatPr baseColWidth="10" defaultColWidth="11.42578125" defaultRowHeight="11.25" x14ac:dyDescent="0.2"/>
  <cols>
    <col min="1" max="1" width="15.7109375" style="2" customWidth="1"/>
    <col min="2" max="9" width="6.7109375" style="2" hidden="1" customWidth="1"/>
    <col min="10" max="15" width="6.7109375" style="2" customWidth="1"/>
    <col min="16" max="16" width="6.7109375" style="14" customWidth="1"/>
    <col min="17" max="28" width="6.7109375" style="2" customWidth="1"/>
    <col min="29" max="29" width="8.28515625" style="2" customWidth="1"/>
    <col min="30" max="30" width="6.7109375" style="2" customWidth="1"/>
    <col min="31" max="16384" width="11.42578125" style="2"/>
  </cols>
  <sheetData>
    <row r="1" spans="1:32" ht="15" customHeight="1" x14ac:dyDescent="0.2">
      <c r="A1" s="1" t="s">
        <v>32</v>
      </c>
      <c r="B1" s="28" t="s">
        <v>33</v>
      </c>
      <c r="C1" s="28" t="s">
        <v>33</v>
      </c>
      <c r="D1" s="28" t="s">
        <v>33</v>
      </c>
      <c r="E1" s="28" t="s">
        <v>33</v>
      </c>
      <c r="F1" s="28" t="s">
        <v>33</v>
      </c>
      <c r="G1" s="28" t="s">
        <v>33</v>
      </c>
      <c r="H1" s="28" t="s">
        <v>33</v>
      </c>
      <c r="I1" s="28" t="s">
        <v>33</v>
      </c>
      <c r="J1" s="28" t="s">
        <v>33</v>
      </c>
      <c r="K1" s="28" t="s">
        <v>33</v>
      </c>
      <c r="L1" s="28" t="s">
        <v>33</v>
      </c>
      <c r="M1" s="28" t="s">
        <v>33</v>
      </c>
      <c r="N1" s="28" t="s">
        <v>33</v>
      </c>
      <c r="O1" s="28" t="s">
        <v>33</v>
      </c>
      <c r="P1" s="28" t="s">
        <v>33</v>
      </c>
      <c r="Q1" s="28" t="s">
        <v>33</v>
      </c>
      <c r="R1" s="28" t="s">
        <v>33</v>
      </c>
      <c r="S1" s="28" t="s">
        <v>33</v>
      </c>
      <c r="T1" s="28" t="s">
        <v>33</v>
      </c>
      <c r="U1" s="28" t="s">
        <v>33</v>
      </c>
      <c r="V1" s="28" t="s">
        <v>33</v>
      </c>
      <c r="W1" s="28" t="s">
        <v>33</v>
      </c>
      <c r="X1" s="28" t="s">
        <v>33</v>
      </c>
      <c r="Y1" s="28" t="s">
        <v>33</v>
      </c>
      <c r="Z1" s="28" t="s">
        <v>33</v>
      </c>
      <c r="AA1" s="28" t="s">
        <v>33</v>
      </c>
      <c r="AB1" s="28" t="s">
        <v>33</v>
      </c>
      <c r="AC1" s="28" t="s">
        <v>33</v>
      </c>
      <c r="AD1" s="28" t="s">
        <v>33</v>
      </c>
    </row>
    <row r="2" spans="1:32" ht="15" customHeight="1" x14ac:dyDescent="0.2">
      <c r="A2" s="24" t="s">
        <v>83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>E2+1</f>
        <v>1995</v>
      </c>
      <c r="G2" s="29">
        <f t="shared" ref="G2:S2" si="0">F2+1</f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f>K2+1</f>
        <v>2001</v>
      </c>
      <c r="M2" s="24">
        <f t="shared" si="0"/>
        <v>2002</v>
      </c>
      <c r="N2" s="24">
        <f t="shared" si="0"/>
        <v>2003</v>
      </c>
      <c r="O2" s="24">
        <f t="shared" si="0"/>
        <v>2004</v>
      </c>
      <c r="P2" s="24">
        <f t="shared" si="0"/>
        <v>2005</v>
      </c>
      <c r="Q2" s="24">
        <f t="shared" si="0"/>
        <v>2006</v>
      </c>
      <c r="R2" s="24">
        <f t="shared" si="0"/>
        <v>2007</v>
      </c>
      <c r="S2" s="24">
        <f t="shared" si="0"/>
        <v>2008</v>
      </c>
      <c r="T2" s="24">
        <f t="shared" ref="T2:Y2" si="1">S2+1</f>
        <v>2009</v>
      </c>
      <c r="U2" s="24">
        <f t="shared" si="1"/>
        <v>2010</v>
      </c>
      <c r="V2" s="24">
        <f t="shared" si="1"/>
        <v>2011</v>
      </c>
      <c r="W2" s="24">
        <f t="shared" si="1"/>
        <v>2012</v>
      </c>
      <c r="X2" s="24">
        <f t="shared" si="1"/>
        <v>2013</v>
      </c>
      <c r="Y2" s="24">
        <f t="shared" si="1"/>
        <v>2014</v>
      </c>
      <c r="Z2" s="24">
        <f>Y2+1</f>
        <v>2015</v>
      </c>
      <c r="AA2" s="24">
        <f>Z2+1</f>
        <v>2016</v>
      </c>
      <c r="AB2" s="24">
        <v>2017</v>
      </c>
      <c r="AC2" s="24">
        <v>2018</v>
      </c>
      <c r="AD2" s="24" t="s">
        <v>85</v>
      </c>
      <c r="AF2" s="45" t="s">
        <v>87</v>
      </c>
    </row>
    <row r="3" spans="1:32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2"/>
    </row>
    <row r="4" spans="1:32" ht="15" customHeight="1" x14ac:dyDescent="0.2">
      <c r="A4" s="4" t="s">
        <v>0</v>
      </c>
      <c r="B4" s="5">
        <v>44.7</v>
      </c>
      <c r="C4" s="5">
        <v>48.3</v>
      </c>
      <c r="D4" s="5">
        <v>55.2</v>
      </c>
      <c r="E4" s="5">
        <v>75.3</v>
      </c>
      <c r="F4" s="5">
        <v>108.8</v>
      </c>
      <c r="G4" s="5">
        <v>171.3</v>
      </c>
      <c r="H4" s="5">
        <v>139.30000000000001</v>
      </c>
      <c r="I4" s="5">
        <v>127.1</v>
      </c>
      <c r="J4" s="5">
        <v>108.4</v>
      </c>
      <c r="K4" s="5">
        <v>128.9</v>
      </c>
      <c r="L4" s="5">
        <v>127.6</v>
      </c>
      <c r="M4" s="5">
        <v>119.3</v>
      </c>
      <c r="N4" s="5">
        <v>149.19999999999999</v>
      </c>
      <c r="O4" s="6">
        <v>134.6</v>
      </c>
      <c r="P4" s="6">
        <v>112</v>
      </c>
      <c r="Q4" s="6">
        <v>138.6</v>
      </c>
      <c r="R4" s="6">
        <v>117.2</v>
      </c>
      <c r="S4" s="6">
        <v>120.1</v>
      </c>
      <c r="T4" s="6">
        <v>118.6</v>
      </c>
      <c r="U4" s="6">
        <v>100</v>
      </c>
      <c r="V4" s="6">
        <v>124.9</v>
      </c>
      <c r="W4" s="6">
        <v>93.6</v>
      </c>
      <c r="X4" s="6">
        <v>69</v>
      </c>
      <c r="Y4" s="6">
        <v>64.8</v>
      </c>
      <c r="Z4" s="6">
        <v>69.900000000000006</v>
      </c>
      <c r="AA4" s="6">
        <v>60.5</v>
      </c>
      <c r="AB4" s="6">
        <v>84</v>
      </c>
      <c r="AC4" s="6">
        <v>125.4</v>
      </c>
      <c r="AD4" s="46">
        <f>AVERAGE(B4:AC4)</f>
        <v>104.87857142857145</v>
      </c>
      <c r="AF4" s="25">
        <f>Z4-AC4</f>
        <v>-55.5</v>
      </c>
    </row>
    <row r="5" spans="1:32" ht="15" customHeight="1" x14ac:dyDescent="0.2">
      <c r="A5" s="22" t="s">
        <v>2</v>
      </c>
      <c r="B5" s="23"/>
      <c r="C5" s="23"/>
      <c r="D5" s="23"/>
      <c r="E5" s="23">
        <v>80.3</v>
      </c>
      <c r="F5" s="23">
        <v>81</v>
      </c>
      <c r="G5" s="23"/>
      <c r="H5" s="23"/>
      <c r="I5" s="23">
        <v>255</v>
      </c>
      <c r="J5" s="23">
        <v>239</v>
      </c>
      <c r="K5" s="23">
        <v>251</v>
      </c>
      <c r="L5" s="23">
        <v>125</v>
      </c>
      <c r="M5" s="23">
        <v>126.9</v>
      </c>
      <c r="N5" s="23">
        <v>101.9</v>
      </c>
      <c r="O5" s="23">
        <v>130.80000000000001</v>
      </c>
      <c r="P5" s="23">
        <v>141.19999999999999</v>
      </c>
      <c r="Q5" s="23">
        <v>89.5</v>
      </c>
      <c r="R5" s="23">
        <v>80.7</v>
      </c>
      <c r="S5" s="23">
        <v>89.3</v>
      </c>
      <c r="T5" s="23">
        <v>110.9</v>
      </c>
      <c r="U5" s="23">
        <v>104.4</v>
      </c>
      <c r="V5" s="23">
        <v>98.4</v>
      </c>
      <c r="W5" s="23">
        <v>66.599999999999994</v>
      </c>
      <c r="X5" s="23">
        <v>108.3</v>
      </c>
      <c r="Y5" s="23">
        <v>104</v>
      </c>
      <c r="Z5" s="23">
        <v>113</v>
      </c>
      <c r="AA5" s="23">
        <v>100.9</v>
      </c>
      <c r="AB5" s="23">
        <v>118.1</v>
      </c>
      <c r="AC5" s="23">
        <v>146</v>
      </c>
      <c r="AD5" s="46">
        <f t="shared" ref="AD5:AD29" si="2">AVERAGE(B5:AC5)</f>
        <v>124.44347826086958</v>
      </c>
      <c r="AF5" s="25">
        <f t="shared" ref="AF5:AF33" si="3">Z5-AC5</f>
        <v>-33</v>
      </c>
    </row>
    <row r="6" spans="1:32" ht="15" customHeight="1" x14ac:dyDescent="0.2">
      <c r="A6" s="4" t="s">
        <v>4</v>
      </c>
      <c r="B6" s="5"/>
      <c r="C6" s="5">
        <v>135.1</v>
      </c>
      <c r="D6" s="5">
        <v>248.6</v>
      </c>
      <c r="E6" s="5">
        <v>232.9</v>
      </c>
      <c r="F6" s="5">
        <v>321.5</v>
      </c>
      <c r="G6" s="5">
        <v>43.1</v>
      </c>
      <c r="H6" s="5">
        <v>123.4</v>
      </c>
      <c r="I6" s="5">
        <v>152.5</v>
      </c>
      <c r="J6" s="5">
        <v>306</v>
      </c>
      <c r="K6" s="5">
        <v>113.1</v>
      </c>
      <c r="L6" s="5">
        <v>77.599999999999994</v>
      </c>
      <c r="M6" s="5">
        <v>444.3</v>
      </c>
      <c r="N6" s="5">
        <v>94.9</v>
      </c>
      <c r="O6" s="5">
        <v>86.8</v>
      </c>
      <c r="P6" s="6">
        <v>53</v>
      </c>
      <c r="Q6" s="6">
        <v>103</v>
      </c>
      <c r="R6" s="6">
        <v>152</v>
      </c>
      <c r="S6" s="6">
        <v>145</v>
      </c>
      <c r="T6" s="6">
        <v>129</v>
      </c>
      <c r="U6" s="6">
        <v>333</v>
      </c>
      <c r="V6" s="6">
        <v>83</v>
      </c>
      <c r="W6" s="6">
        <v>59</v>
      </c>
      <c r="X6" s="6">
        <v>69</v>
      </c>
      <c r="Y6" s="6">
        <v>534</v>
      </c>
      <c r="Z6" s="6">
        <v>134.88</v>
      </c>
      <c r="AA6" s="6">
        <v>67.48</v>
      </c>
      <c r="AB6" s="6">
        <v>188.54</v>
      </c>
      <c r="AC6" s="6">
        <v>103.45</v>
      </c>
      <c r="AD6" s="46">
        <f t="shared" si="2"/>
        <v>167.93148148148146</v>
      </c>
      <c r="AF6" s="25">
        <f t="shared" si="3"/>
        <v>31.429999999999993</v>
      </c>
    </row>
    <row r="7" spans="1:32" ht="15" customHeight="1" x14ac:dyDescent="0.2">
      <c r="A7" s="22" t="s">
        <v>5</v>
      </c>
      <c r="B7" s="23">
        <v>30</v>
      </c>
      <c r="C7" s="23">
        <v>29</v>
      </c>
      <c r="D7" s="23">
        <v>94</v>
      </c>
      <c r="E7" s="23">
        <v>93</v>
      </c>
      <c r="F7" s="23">
        <v>81</v>
      </c>
      <c r="G7" s="23">
        <v>115</v>
      </c>
      <c r="H7" s="23">
        <v>149</v>
      </c>
      <c r="I7" s="23">
        <v>126</v>
      </c>
      <c r="J7" s="23">
        <v>125</v>
      </c>
      <c r="K7" s="23">
        <v>149.1</v>
      </c>
      <c r="L7" s="23">
        <v>78.5</v>
      </c>
      <c r="M7" s="23">
        <v>90.1</v>
      </c>
      <c r="N7" s="23">
        <v>113.3</v>
      </c>
      <c r="O7" s="23">
        <v>141.18157398469685</v>
      </c>
      <c r="P7" s="23">
        <v>130.25666699458219</v>
      </c>
      <c r="Q7" s="23">
        <v>116.8949259605657</v>
      </c>
      <c r="R7" s="23">
        <v>109.99358840120199</v>
      </c>
      <c r="S7" s="23">
        <v>98.361695537994706</v>
      </c>
      <c r="T7" s="23">
        <v>98.5</v>
      </c>
      <c r="U7" s="23">
        <v>108.5</v>
      </c>
      <c r="V7" s="23">
        <v>108.5</v>
      </c>
      <c r="W7" s="23">
        <v>449.4</v>
      </c>
      <c r="X7" s="23">
        <v>82.137882822914108</v>
      </c>
      <c r="Y7" s="23">
        <v>104.5</v>
      </c>
      <c r="Z7" s="23">
        <v>109.9</v>
      </c>
      <c r="AA7" s="23">
        <v>51.6</v>
      </c>
      <c r="AB7" s="23">
        <v>112.5</v>
      </c>
      <c r="AC7" s="23">
        <v>117.3</v>
      </c>
      <c r="AD7" s="46">
        <f t="shared" si="2"/>
        <v>114.73308334649842</v>
      </c>
      <c r="AF7" s="25">
        <f t="shared" si="3"/>
        <v>-7.3999999999999915</v>
      </c>
    </row>
    <row r="8" spans="1:32" ht="15" customHeight="1" x14ac:dyDescent="0.2">
      <c r="A8" s="4" t="s">
        <v>6</v>
      </c>
      <c r="B8" s="5"/>
      <c r="C8" s="5">
        <v>-20.5</v>
      </c>
      <c r="D8" s="5">
        <v>48.5</v>
      </c>
      <c r="E8" s="5">
        <v>69.599999999999994</v>
      </c>
      <c r="F8" s="5">
        <v>40.5</v>
      </c>
      <c r="G8" s="5">
        <v>51.8</v>
      </c>
      <c r="H8" s="5">
        <v>51.1</v>
      </c>
      <c r="I8" s="5">
        <v>88.8</v>
      </c>
      <c r="J8" s="5">
        <v>112.4</v>
      </c>
      <c r="K8" s="5">
        <v>159.80000000000001</v>
      </c>
      <c r="L8" s="5">
        <v>98.5</v>
      </c>
      <c r="M8" s="5">
        <v>67.900000000000006</v>
      </c>
      <c r="N8" s="5">
        <v>121.8</v>
      </c>
      <c r="O8" s="5">
        <v>142.80000000000001</v>
      </c>
      <c r="P8" s="6">
        <v>271.60000000000002</v>
      </c>
      <c r="Q8" s="6">
        <v>211.8</v>
      </c>
      <c r="R8" s="6">
        <v>417</v>
      </c>
      <c r="S8" s="6">
        <v>173.3</v>
      </c>
      <c r="T8" s="6">
        <v>196.8</v>
      </c>
      <c r="U8" s="6">
        <v>329.1</v>
      </c>
      <c r="V8" s="6">
        <v>130.5</v>
      </c>
      <c r="W8" s="6">
        <v>63.8</v>
      </c>
      <c r="X8" s="6">
        <v>106.7</v>
      </c>
      <c r="Y8" s="6">
        <v>131.19999999999999</v>
      </c>
      <c r="Z8" s="6">
        <v>123.1</v>
      </c>
      <c r="AA8" s="6">
        <v>72.099999999999994</v>
      </c>
      <c r="AB8" s="6">
        <v>112.9</v>
      </c>
      <c r="AC8" s="6">
        <v>161.30000000000001</v>
      </c>
      <c r="AD8" s="46">
        <f t="shared" si="2"/>
        <v>130.8962962962963</v>
      </c>
      <c r="AF8" s="25">
        <f t="shared" si="3"/>
        <v>-38.200000000000017</v>
      </c>
    </row>
    <row r="9" spans="1:32" ht="15" customHeight="1" x14ac:dyDescent="0.2">
      <c r="A9" s="22" t="s">
        <v>7</v>
      </c>
      <c r="B9" s="23">
        <v>96</v>
      </c>
      <c r="C9" s="23">
        <v>70</v>
      </c>
      <c r="D9" s="23">
        <v>103</v>
      </c>
      <c r="E9" s="23">
        <v>109</v>
      </c>
      <c r="F9" s="23">
        <v>121</v>
      </c>
      <c r="G9" s="23">
        <v>77</v>
      </c>
      <c r="H9" s="23">
        <v>70.2</v>
      </c>
      <c r="I9" s="23">
        <v>72.599999999999994</v>
      </c>
      <c r="J9" s="23">
        <v>92.1</v>
      </c>
      <c r="K9" s="23">
        <v>90</v>
      </c>
      <c r="L9" s="23">
        <v>186.8</v>
      </c>
      <c r="M9" s="23">
        <v>149</v>
      </c>
      <c r="N9" s="23">
        <v>148.30000000000001</v>
      </c>
      <c r="O9" s="23">
        <v>193.9</v>
      </c>
      <c r="P9" s="23">
        <v>183.4</v>
      </c>
      <c r="Q9" s="23">
        <v>222.4</v>
      </c>
      <c r="R9" s="23">
        <v>161.69999999999999</v>
      </c>
      <c r="S9" s="23">
        <v>134.4</v>
      </c>
      <c r="T9" s="23">
        <v>128.04</v>
      </c>
      <c r="U9" s="23">
        <v>136.08000000000001</v>
      </c>
      <c r="V9" s="23">
        <v>178.1</v>
      </c>
      <c r="W9" s="23">
        <v>97.7</v>
      </c>
      <c r="X9" s="23">
        <v>118.7</v>
      </c>
      <c r="Y9" s="23">
        <v>85.3</v>
      </c>
      <c r="Z9" s="23">
        <v>83.6</v>
      </c>
      <c r="AA9" s="23">
        <v>85.2</v>
      </c>
      <c r="AB9" s="23">
        <v>84.2</v>
      </c>
      <c r="AC9" s="23">
        <v>100.71</v>
      </c>
      <c r="AD9" s="46">
        <f t="shared" si="2"/>
        <v>120.65821428571427</v>
      </c>
      <c r="AF9" s="25">
        <f t="shared" si="3"/>
        <v>-17.11</v>
      </c>
    </row>
    <row r="10" spans="1:32" ht="15" customHeight="1" x14ac:dyDescent="0.2">
      <c r="A10" s="4" t="s">
        <v>8</v>
      </c>
      <c r="B10" s="5"/>
      <c r="C10" s="5"/>
      <c r="D10" s="5"/>
      <c r="E10" s="5"/>
      <c r="F10" s="5"/>
      <c r="G10" s="5">
        <v>52.8</v>
      </c>
      <c r="H10" s="5">
        <v>39.799999999999997</v>
      </c>
      <c r="I10" s="5">
        <v>27.9</v>
      </c>
      <c r="J10" s="5">
        <v>24.9</v>
      </c>
      <c r="K10" s="5">
        <v>27.9</v>
      </c>
      <c r="L10" s="5">
        <v>58.9</v>
      </c>
      <c r="M10" s="5">
        <v>157.30000000000001</v>
      </c>
      <c r="N10" s="5">
        <v>194.9</v>
      </c>
      <c r="O10" s="5">
        <v>162.1</v>
      </c>
      <c r="P10" s="6">
        <v>110.05</v>
      </c>
      <c r="Q10" s="6">
        <v>106.5</v>
      </c>
      <c r="R10" s="6">
        <v>130.82</v>
      </c>
      <c r="S10" s="6">
        <v>153.87</v>
      </c>
      <c r="T10" s="6">
        <v>142.1</v>
      </c>
      <c r="U10" s="6">
        <v>143.80000000000001</v>
      </c>
      <c r="V10" s="6">
        <v>112.17</v>
      </c>
      <c r="W10" s="6">
        <v>82.93</v>
      </c>
      <c r="X10" s="6">
        <v>74.430000000000007</v>
      </c>
      <c r="Y10" s="6">
        <v>69.180000000000007</v>
      </c>
      <c r="Z10" s="6">
        <v>88</v>
      </c>
      <c r="AA10" s="6">
        <v>81.900000000000006</v>
      </c>
      <c r="AB10" s="6">
        <v>99.4</v>
      </c>
      <c r="AC10" s="6">
        <v>89.52</v>
      </c>
      <c r="AD10" s="46">
        <f t="shared" si="2"/>
        <v>97.007391304347834</v>
      </c>
      <c r="AF10" s="25">
        <f t="shared" si="3"/>
        <v>-1.519999999999996</v>
      </c>
    </row>
    <row r="11" spans="1:32" ht="15" customHeight="1" x14ac:dyDescent="0.2">
      <c r="A11" s="22" t="s">
        <v>9</v>
      </c>
      <c r="B11" s="23">
        <v>91.3</v>
      </c>
      <c r="C11" s="23">
        <v>87.1</v>
      </c>
      <c r="D11" s="23">
        <v>87.6</v>
      </c>
      <c r="E11" s="23">
        <v>68.3</v>
      </c>
      <c r="F11" s="23">
        <v>52.4</v>
      </c>
      <c r="G11" s="23">
        <v>84.6</v>
      </c>
      <c r="H11" s="23">
        <v>73.400000000000006</v>
      </c>
      <c r="I11" s="23">
        <v>102.8</v>
      </c>
      <c r="J11" s="23">
        <v>172.7</v>
      </c>
      <c r="K11" s="23">
        <v>140</v>
      </c>
      <c r="L11" s="23">
        <v>164</v>
      </c>
      <c r="M11" s="23">
        <v>147</v>
      </c>
      <c r="N11" s="23">
        <v>63.4</v>
      </c>
      <c r="O11" s="23">
        <v>105.8</v>
      </c>
      <c r="P11" s="23">
        <v>88.7</v>
      </c>
      <c r="Q11" s="23">
        <v>149.4</v>
      </c>
      <c r="R11" s="23">
        <v>196.3</v>
      </c>
      <c r="S11" s="23">
        <v>221.6</v>
      </c>
      <c r="T11" s="23">
        <v>179.2</v>
      </c>
      <c r="U11" s="23">
        <v>126.4</v>
      </c>
      <c r="V11" s="23">
        <v>95.2</v>
      </c>
      <c r="W11" s="23">
        <v>79.5</v>
      </c>
      <c r="X11" s="23">
        <v>89</v>
      </c>
      <c r="Y11" s="23">
        <v>144.80000000000001</v>
      </c>
      <c r="Z11" s="23">
        <v>118</v>
      </c>
      <c r="AA11" s="23">
        <v>111.4</v>
      </c>
      <c r="AB11" s="23">
        <v>122.9</v>
      </c>
      <c r="AC11" s="23">
        <v>130.69999999999999</v>
      </c>
      <c r="AD11" s="46">
        <f t="shared" si="2"/>
        <v>117.625</v>
      </c>
      <c r="AF11" s="25">
        <f t="shared" si="3"/>
        <v>-12.699999999999989</v>
      </c>
    </row>
    <row r="12" spans="1:32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87.9</v>
      </c>
      <c r="I12" s="5">
        <v>90.3</v>
      </c>
      <c r="J12" s="5"/>
      <c r="K12" s="5">
        <v>125.4</v>
      </c>
      <c r="L12" s="5">
        <v>68</v>
      </c>
      <c r="M12" s="5">
        <v>43.9</v>
      </c>
      <c r="N12" s="5">
        <v>58.3</v>
      </c>
      <c r="O12" s="5">
        <v>91.4</v>
      </c>
      <c r="P12" s="6">
        <v>108.9</v>
      </c>
      <c r="Q12" s="6">
        <v>157</v>
      </c>
      <c r="R12" s="6">
        <v>124.6</v>
      </c>
      <c r="S12" s="6">
        <v>114.2</v>
      </c>
      <c r="T12" s="6">
        <v>101.5</v>
      </c>
      <c r="U12" s="6">
        <v>52.5</v>
      </c>
      <c r="V12" s="6">
        <v>193.3</v>
      </c>
      <c r="W12" s="6">
        <v>24.5</v>
      </c>
      <c r="X12" s="6">
        <v>56.9</v>
      </c>
      <c r="Y12" s="6">
        <v>159.30000000000001</v>
      </c>
      <c r="Z12" s="6">
        <v>121.3</v>
      </c>
      <c r="AA12" s="6">
        <v>71.7</v>
      </c>
      <c r="AB12" s="6">
        <v>43</v>
      </c>
      <c r="AC12" s="6">
        <v>80.3</v>
      </c>
      <c r="AD12" s="46">
        <f t="shared" si="2"/>
        <v>94.009523809523813</v>
      </c>
      <c r="AF12" s="25">
        <f t="shared" si="3"/>
        <v>41</v>
      </c>
    </row>
    <row r="13" spans="1:32" ht="15" customHeight="1" x14ac:dyDescent="0.2">
      <c r="A13" s="22" t="s">
        <v>11</v>
      </c>
      <c r="B13" s="23"/>
      <c r="C13" s="23"/>
      <c r="D13" s="23"/>
      <c r="E13" s="23">
        <v>96.4</v>
      </c>
      <c r="F13" s="23">
        <v>99.1</v>
      </c>
      <c r="G13" s="23">
        <v>87.4</v>
      </c>
      <c r="H13" s="23">
        <v>77.900000000000006</v>
      </c>
      <c r="I13" s="23">
        <v>75.900000000000006</v>
      </c>
      <c r="J13" s="23">
        <v>63.2</v>
      </c>
      <c r="K13" s="23">
        <v>94.2</v>
      </c>
      <c r="L13" s="23">
        <v>88.7</v>
      </c>
      <c r="M13" s="23">
        <v>163.1</v>
      </c>
      <c r="N13" s="23">
        <v>103.9</v>
      </c>
      <c r="O13" s="23">
        <v>122</v>
      </c>
      <c r="P13" s="23">
        <v>125.6</v>
      </c>
      <c r="Q13" s="23">
        <v>117.4</v>
      </c>
      <c r="R13" s="23">
        <v>148.24</v>
      </c>
      <c r="S13" s="23">
        <v>116.5</v>
      </c>
      <c r="T13" s="23">
        <v>103.62</v>
      </c>
      <c r="U13" s="23">
        <v>103.1</v>
      </c>
      <c r="V13" s="23">
        <v>98.6</v>
      </c>
      <c r="W13" s="23">
        <v>119.1</v>
      </c>
      <c r="X13" s="23">
        <v>117.9</v>
      </c>
      <c r="Y13" s="23">
        <v>102.27</v>
      </c>
      <c r="Z13" s="23">
        <v>169.84</v>
      </c>
      <c r="AA13" s="23">
        <v>144.62</v>
      </c>
      <c r="AB13" s="23">
        <v>139.18</v>
      </c>
      <c r="AC13" s="23">
        <v>115.6</v>
      </c>
      <c r="AD13" s="46">
        <f t="shared" si="2"/>
        <v>111.73479999999998</v>
      </c>
      <c r="AF13" s="25">
        <f t="shared" si="3"/>
        <v>54.240000000000009</v>
      </c>
    </row>
    <row r="14" spans="1:32" ht="15" customHeight="1" x14ac:dyDescent="0.2">
      <c r="A14" s="4" t="s">
        <v>12</v>
      </c>
      <c r="B14" s="5">
        <v>18.100000000000001</v>
      </c>
      <c r="C14" s="5">
        <v>16.2</v>
      </c>
      <c r="D14" s="5">
        <v>27.9</v>
      </c>
      <c r="E14" s="5">
        <v>21.5</v>
      </c>
      <c r="F14" s="5">
        <v>6.4</v>
      </c>
      <c r="G14" s="5">
        <v>10.4</v>
      </c>
      <c r="H14" s="5">
        <v>41.9</v>
      </c>
      <c r="I14" s="5">
        <v>36.6</v>
      </c>
      <c r="J14" s="5">
        <v>37.200000000000003</v>
      </c>
      <c r="K14" s="5">
        <v>44</v>
      </c>
      <c r="L14" s="5">
        <v>32</v>
      </c>
      <c r="M14" s="5">
        <v>24</v>
      </c>
      <c r="N14" s="5">
        <v>34</v>
      </c>
      <c r="O14" s="5">
        <v>27</v>
      </c>
      <c r="P14" s="6">
        <v>16</v>
      </c>
      <c r="Q14" s="6">
        <v>197.6</v>
      </c>
      <c r="R14" s="6">
        <v>44.6</v>
      </c>
      <c r="S14" s="6">
        <v>101</v>
      </c>
      <c r="T14" s="6">
        <v>106.49</v>
      </c>
      <c r="U14" s="6">
        <v>65</v>
      </c>
      <c r="V14" s="6">
        <v>66.64</v>
      </c>
      <c r="W14" s="6">
        <v>89.28</v>
      </c>
      <c r="X14" s="6">
        <v>124.76</v>
      </c>
      <c r="Y14" s="6">
        <v>177.64</v>
      </c>
      <c r="Z14" s="6">
        <v>189.86</v>
      </c>
      <c r="AA14" s="6">
        <v>113.8</v>
      </c>
      <c r="AB14" s="6">
        <v>96.87</v>
      </c>
      <c r="AC14" s="6">
        <v>83.09</v>
      </c>
      <c r="AD14" s="46">
        <f t="shared" si="2"/>
        <v>66.065357142857152</v>
      </c>
      <c r="AF14" s="25">
        <f t="shared" si="3"/>
        <v>106.77000000000001</v>
      </c>
    </row>
    <row r="15" spans="1:32" ht="15" customHeight="1" x14ac:dyDescent="0.2">
      <c r="A15" s="22" t="s">
        <v>13</v>
      </c>
      <c r="B15" s="23"/>
      <c r="C15" s="23">
        <v>36.700000000000003</v>
      </c>
      <c r="D15" s="23">
        <v>69.099999999999994</v>
      </c>
      <c r="E15" s="23">
        <v>75.3</v>
      </c>
      <c r="F15" s="23">
        <v>85.3</v>
      </c>
      <c r="G15" s="23">
        <v>74.3</v>
      </c>
      <c r="H15" s="23">
        <v>100.5</v>
      </c>
      <c r="I15" s="23">
        <v>85.5</v>
      </c>
      <c r="J15" s="23">
        <v>106.5</v>
      </c>
      <c r="K15" s="23">
        <v>104.8</v>
      </c>
      <c r="L15" s="23">
        <v>68.8</v>
      </c>
      <c r="M15" s="23">
        <v>208.2</v>
      </c>
      <c r="N15" s="23">
        <v>122.9</v>
      </c>
      <c r="O15" s="23">
        <v>136</v>
      </c>
      <c r="P15" s="23">
        <v>128.30000000000001</v>
      </c>
      <c r="Q15" s="23">
        <v>182.07</v>
      </c>
      <c r="R15" s="23">
        <v>186.9</v>
      </c>
      <c r="S15" s="23">
        <v>138.5</v>
      </c>
      <c r="T15" s="23">
        <v>103.2</v>
      </c>
      <c r="U15" s="23">
        <v>81.95</v>
      </c>
      <c r="V15" s="23">
        <v>92.95</v>
      </c>
      <c r="W15" s="23">
        <v>56</v>
      </c>
      <c r="X15" s="23">
        <v>94.2</v>
      </c>
      <c r="Y15" s="23">
        <v>129.69999999999999</v>
      </c>
      <c r="Z15" s="23">
        <v>130.1</v>
      </c>
      <c r="AA15" s="23">
        <v>116.3</v>
      </c>
      <c r="AB15" s="23">
        <v>94.56</v>
      </c>
      <c r="AC15" s="23" t="s">
        <v>1</v>
      </c>
      <c r="AD15" s="46">
        <f t="shared" si="2"/>
        <v>108.02423076923075</v>
      </c>
      <c r="AF15" s="25" t="e">
        <f t="shared" si="3"/>
        <v>#VALUE!</v>
      </c>
    </row>
    <row r="16" spans="1:32" ht="15" customHeight="1" x14ac:dyDescent="0.2">
      <c r="A16" s="4" t="s">
        <v>14</v>
      </c>
      <c r="B16" s="5">
        <v>34.5</v>
      </c>
      <c r="C16" s="5">
        <v>49.6</v>
      </c>
      <c r="D16" s="5">
        <v>72.599999999999994</v>
      </c>
      <c r="E16" s="5">
        <v>66</v>
      </c>
      <c r="F16" s="5">
        <v>53.1</v>
      </c>
      <c r="G16" s="5">
        <v>50.2</v>
      </c>
      <c r="H16" s="5">
        <v>45.4</v>
      </c>
      <c r="I16" s="5">
        <v>50.2</v>
      </c>
      <c r="J16" s="5">
        <v>53.8</v>
      </c>
      <c r="K16" s="5">
        <v>74.8</v>
      </c>
      <c r="L16" s="5">
        <v>83.4</v>
      </c>
      <c r="M16" s="5">
        <v>70.5</v>
      </c>
      <c r="N16" s="5">
        <v>32.9</v>
      </c>
      <c r="O16" s="5">
        <v>14.4</v>
      </c>
      <c r="P16" s="6">
        <v>22.2</v>
      </c>
      <c r="Q16" s="6">
        <v>99</v>
      </c>
      <c r="R16" s="6">
        <v>116</v>
      </c>
      <c r="S16" s="6">
        <v>146.1</v>
      </c>
      <c r="T16" s="6">
        <v>79.5</v>
      </c>
      <c r="U16" s="6">
        <v>65.7</v>
      </c>
      <c r="V16" s="6">
        <v>83.7</v>
      </c>
      <c r="W16" s="6">
        <v>93.6</v>
      </c>
      <c r="X16" s="6">
        <v>59.4</v>
      </c>
      <c r="Y16" s="6">
        <v>65.5</v>
      </c>
      <c r="Z16" s="6">
        <v>73.5</v>
      </c>
      <c r="AA16" s="6">
        <v>68.8</v>
      </c>
      <c r="AB16" s="6">
        <v>131.4</v>
      </c>
      <c r="AC16" s="6">
        <v>114.1</v>
      </c>
      <c r="AD16" s="46">
        <f t="shared" si="2"/>
        <v>70.353571428571428</v>
      </c>
      <c r="AF16" s="25">
        <f t="shared" si="3"/>
        <v>-40.599999999999994</v>
      </c>
    </row>
    <row r="17" spans="1:34" ht="15" customHeight="1" x14ac:dyDescent="0.2">
      <c r="A17" s="22" t="s">
        <v>15</v>
      </c>
      <c r="B17" s="23"/>
      <c r="C17" s="23"/>
      <c r="D17" s="23">
        <v>93.8</v>
      </c>
      <c r="E17" s="23">
        <v>66.2</v>
      </c>
      <c r="F17" s="23"/>
      <c r="G17" s="23"/>
      <c r="H17" s="23"/>
      <c r="I17" s="23"/>
      <c r="J17" s="23"/>
      <c r="K17" s="23"/>
      <c r="L17" s="23">
        <v>97.8</v>
      </c>
      <c r="M17" s="23">
        <v>306.89999999999998</v>
      </c>
      <c r="N17" s="23">
        <v>258.39999999999998</v>
      </c>
      <c r="O17" s="23">
        <v>114.1</v>
      </c>
      <c r="P17" s="23">
        <v>60.6</v>
      </c>
      <c r="Q17" s="23">
        <v>90.91</v>
      </c>
      <c r="R17" s="23">
        <v>67.67</v>
      </c>
      <c r="S17" s="23">
        <v>121.97</v>
      </c>
      <c r="T17" s="23">
        <v>122.96</v>
      </c>
      <c r="U17" s="23">
        <v>175.5</v>
      </c>
      <c r="V17" s="23">
        <v>108.4</v>
      </c>
      <c r="W17" s="23">
        <v>132.69999999999999</v>
      </c>
      <c r="X17" s="23">
        <v>128.19999999999999</v>
      </c>
      <c r="Y17" s="23">
        <v>104.6</v>
      </c>
      <c r="Z17" s="23">
        <v>251.9</v>
      </c>
      <c r="AA17" s="23">
        <v>138.30000000000001</v>
      </c>
      <c r="AB17" s="23">
        <v>107</v>
      </c>
      <c r="AC17" s="23">
        <v>99.4</v>
      </c>
      <c r="AD17" s="46">
        <f t="shared" si="2"/>
        <v>132.36550000000005</v>
      </c>
      <c r="AF17" s="25">
        <f t="shared" si="3"/>
        <v>152.5</v>
      </c>
    </row>
    <row r="18" spans="1:34" ht="15" customHeight="1" x14ac:dyDescent="0.2">
      <c r="A18" s="4" t="s">
        <v>16</v>
      </c>
      <c r="B18" s="5">
        <v>29.6</v>
      </c>
      <c r="C18" s="5">
        <v>45</v>
      </c>
      <c r="D18" s="5">
        <v>59.2</v>
      </c>
      <c r="E18" s="5">
        <v>88.4</v>
      </c>
      <c r="F18" s="5">
        <v>85.4</v>
      </c>
      <c r="G18" s="5">
        <v>93.3</v>
      </c>
      <c r="H18" s="5">
        <v>52.5</v>
      </c>
      <c r="I18" s="5">
        <v>88.3</v>
      </c>
      <c r="J18" s="5">
        <v>61.9</v>
      </c>
      <c r="K18" s="5">
        <v>226</v>
      </c>
      <c r="L18" s="5">
        <v>275.10000000000002</v>
      </c>
      <c r="M18" s="5">
        <v>224</v>
      </c>
      <c r="N18" s="5">
        <v>162.30000000000001</v>
      </c>
      <c r="O18" s="5">
        <v>231.6</v>
      </c>
      <c r="P18" s="6">
        <v>122.9</v>
      </c>
      <c r="Q18" s="6">
        <v>234.3</v>
      </c>
      <c r="R18" s="6">
        <v>143.5</v>
      </c>
      <c r="S18" s="6">
        <v>85.7</v>
      </c>
      <c r="T18" s="6">
        <v>62.6</v>
      </c>
      <c r="U18" s="6">
        <v>90.63</v>
      </c>
      <c r="V18" s="6">
        <v>70</v>
      </c>
      <c r="W18" s="6">
        <v>77.13</v>
      </c>
      <c r="X18" s="6">
        <v>152.4</v>
      </c>
      <c r="Y18" s="6">
        <v>163</v>
      </c>
      <c r="Z18" s="6">
        <v>376.4</v>
      </c>
      <c r="AA18" s="6">
        <v>273</v>
      </c>
      <c r="AB18" s="6">
        <v>158.6</v>
      </c>
      <c r="AC18" s="6">
        <v>218.6</v>
      </c>
      <c r="AD18" s="46">
        <f t="shared" si="2"/>
        <v>141.12</v>
      </c>
      <c r="AF18" s="25">
        <f t="shared" si="3"/>
        <v>157.79999999999998</v>
      </c>
    </row>
    <row r="19" spans="1:34" ht="15" customHeight="1" x14ac:dyDescent="0.2">
      <c r="A19" s="22" t="s">
        <v>17</v>
      </c>
      <c r="B19" s="23"/>
      <c r="C19" s="23"/>
      <c r="D19" s="23"/>
      <c r="E19" s="23">
        <v>62.9</v>
      </c>
      <c r="F19" s="23">
        <v>85.3</v>
      </c>
      <c r="G19" s="23">
        <v>96.7</v>
      </c>
      <c r="H19" s="23">
        <v>60.6</v>
      </c>
      <c r="I19" s="23">
        <v>79.5</v>
      </c>
      <c r="J19" s="23">
        <v>75.5</v>
      </c>
      <c r="K19" s="23">
        <v>141.30000000000001</v>
      </c>
      <c r="L19" s="23">
        <v>113.6</v>
      </c>
      <c r="M19" s="23">
        <v>80</v>
      </c>
      <c r="N19" s="23">
        <v>73.5</v>
      </c>
      <c r="O19" s="23">
        <v>208</v>
      </c>
      <c r="P19" s="23">
        <v>158.44999999999999</v>
      </c>
      <c r="Q19" s="23">
        <v>214.5</v>
      </c>
      <c r="R19" s="23">
        <v>132.6</v>
      </c>
      <c r="S19" s="23">
        <v>156.59</v>
      </c>
      <c r="T19" s="23">
        <v>168.85</v>
      </c>
      <c r="U19" s="23">
        <v>68.47</v>
      </c>
      <c r="V19" s="23">
        <v>117.11</v>
      </c>
      <c r="W19" s="23">
        <v>79.819999999999993</v>
      </c>
      <c r="X19" s="23">
        <v>89.67</v>
      </c>
      <c r="Y19" s="23">
        <v>164.93</v>
      </c>
      <c r="Z19" s="23">
        <v>229.6</v>
      </c>
      <c r="AA19" s="23">
        <v>212.1</v>
      </c>
      <c r="AB19" s="23">
        <v>165.58525553703527</v>
      </c>
      <c r="AC19" s="23">
        <v>98.542185370126816</v>
      </c>
      <c r="AD19" s="46">
        <f t="shared" si="2"/>
        <v>125.34869763628647</v>
      </c>
      <c r="AF19" s="25">
        <f t="shared" si="3"/>
        <v>131.05781462987318</v>
      </c>
    </row>
    <row r="20" spans="1:34" ht="15" customHeight="1" x14ac:dyDescent="0.2">
      <c r="A20" s="4" t="s">
        <v>18</v>
      </c>
      <c r="B20" s="5"/>
      <c r="C20" s="5"/>
      <c r="D20" s="5"/>
      <c r="E20" s="5"/>
      <c r="F20" s="5"/>
      <c r="G20" s="5">
        <v>110</v>
      </c>
      <c r="H20" s="5">
        <v>101</v>
      </c>
      <c r="I20" s="5">
        <v>75</v>
      </c>
      <c r="J20" s="5">
        <v>104</v>
      </c>
      <c r="K20" s="5">
        <v>213</v>
      </c>
      <c r="L20" s="5">
        <v>117</v>
      </c>
      <c r="M20" s="5">
        <v>145</v>
      </c>
      <c r="N20" s="5">
        <v>4</v>
      </c>
      <c r="O20" s="5">
        <v>93</v>
      </c>
      <c r="P20" s="6">
        <v>148</v>
      </c>
      <c r="Q20" s="6">
        <v>163</v>
      </c>
      <c r="R20" s="6">
        <v>238</v>
      </c>
      <c r="S20" s="6">
        <v>270</v>
      </c>
      <c r="T20" s="6">
        <v>166</v>
      </c>
      <c r="U20" s="6">
        <v>79</v>
      </c>
      <c r="V20" s="6">
        <v>67</v>
      </c>
      <c r="W20" s="6">
        <v>54</v>
      </c>
      <c r="X20" s="6">
        <v>58</v>
      </c>
      <c r="Y20" s="6">
        <v>87</v>
      </c>
      <c r="Z20" s="6">
        <v>157</v>
      </c>
      <c r="AA20" s="6">
        <v>144</v>
      </c>
      <c r="AB20" s="6">
        <v>74</v>
      </c>
      <c r="AC20" s="6">
        <v>81.430000000000007</v>
      </c>
      <c r="AD20" s="46">
        <f t="shared" si="2"/>
        <v>119.49695652173912</v>
      </c>
      <c r="AF20" s="25">
        <f t="shared" si="3"/>
        <v>75.569999999999993</v>
      </c>
    </row>
    <row r="21" spans="1:34" ht="15" customHeight="1" x14ac:dyDescent="0.2">
      <c r="A21" s="22" t="s">
        <v>19</v>
      </c>
      <c r="B21" s="23">
        <v>43.7</v>
      </c>
      <c r="C21" s="23">
        <v>39.200000000000003</v>
      </c>
      <c r="D21" s="23">
        <v>35.299999999999997</v>
      </c>
      <c r="E21" s="23">
        <v>58.6</v>
      </c>
      <c r="F21" s="23">
        <v>81.7</v>
      </c>
      <c r="G21" s="23">
        <v>101.3</v>
      </c>
      <c r="H21" s="23">
        <v>98.7</v>
      </c>
      <c r="I21" s="23">
        <v>85.8</v>
      </c>
      <c r="J21" s="23">
        <v>100.8</v>
      </c>
      <c r="K21" s="23">
        <v>149.5</v>
      </c>
      <c r="L21" s="23">
        <v>114.1</v>
      </c>
      <c r="M21" s="23">
        <v>230.9</v>
      </c>
      <c r="N21" s="23">
        <v>217.7</v>
      </c>
      <c r="O21" s="23">
        <v>126.6</v>
      </c>
      <c r="P21" s="23">
        <v>146.1</v>
      </c>
      <c r="Q21" s="23">
        <v>111.9</v>
      </c>
      <c r="R21" s="23">
        <v>147.19999999999999</v>
      </c>
      <c r="S21" s="23">
        <v>119.1</v>
      </c>
      <c r="T21" s="23">
        <v>117</v>
      </c>
      <c r="U21" s="23">
        <v>106.6</v>
      </c>
      <c r="V21" s="23">
        <v>111.1</v>
      </c>
      <c r="W21" s="23">
        <v>86.2</v>
      </c>
      <c r="X21" s="23">
        <v>62</v>
      </c>
      <c r="Y21" s="23">
        <v>63.1</v>
      </c>
      <c r="Z21" s="23">
        <v>111.3</v>
      </c>
      <c r="AA21" s="23">
        <v>262.7</v>
      </c>
      <c r="AB21" s="23">
        <v>224.4</v>
      </c>
      <c r="AC21" s="23">
        <v>1559.5</v>
      </c>
      <c r="AD21" s="46">
        <f t="shared" si="2"/>
        <v>168.28928571428568</v>
      </c>
      <c r="AF21" s="25">
        <f t="shared" si="3"/>
        <v>-1448.2</v>
      </c>
    </row>
    <row r="22" spans="1:34" ht="15" customHeight="1" x14ac:dyDescent="0.2">
      <c r="A22" s="4" t="s">
        <v>20</v>
      </c>
      <c r="B22" s="5">
        <v>35</v>
      </c>
      <c r="C22" s="5">
        <v>53.5</v>
      </c>
      <c r="D22" s="5">
        <v>105.7</v>
      </c>
      <c r="E22" s="5">
        <v>84.6</v>
      </c>
      <c r="F22" s="5">
        <v>74.7</v>
      </c>
      <c r="G22" s="5">
        <v>71.7</v>
      </c>
      <c r="H22" s="5">
        <v>75.2</v>
      </c>
      <c r="I22" s="5">
        <v>87.5</v>
      </c>
      <c r="J22" s="5">
        <v>87.4</v>
      </c>
      <c r="K22" s="5">
        <v>102</v>
      </c>
      <c r="L22" s="5">
        <v>126.1</v>
      </c>
      <c r="M22" s="5">
        <v>118.3</v>
      </c>
      <c r="N22" s="5">
        <v>142.80000000000001</v>
      </c>
      <c r="O22" s="5">
        <v>127.2</v>
      </c>
      <c r="P22" s="6">
        <v>114.4</v>
      </c>
      <c r="Q22" s="6">
        <v>117.9</v>
      </c>
      <c r="R22" s="6">
        <v>151.69999999999999</v>
      </c>
      <c r="S22" s="6">
        <v>159.69999999999999</v>
      </c>
      <c r="T22" s="6">
        <v>150.1</v>
      </c>
      <c r="U22" s="6">
        <v>151.80000000000001</v>
      </c>
      <c r="V22" s="6">
        <v>145.1</v>
      </c>
      <c r="W22" s="6">
        <v>111.5</v>
      </c>
      <c r="X22" s="6">
        <v>91.1</v>
      </c>
      <c r="Y22" s="6">
        <v>140.4</v>
      </c>
      <c r="Z22" s="6">
        <v>145.80000000000001</v>
      </c>
      <c r="AA22" s="6">
        <v>154.6</v>
      </c>
      <c r="AB22" s="6">
        <v>136.75</v>
      </c>
      <c r="AC22" s="6">
        <v>138.9</v>
      </c>
      <c r="AD22" s="46">
        <f t="shared" si="2"/>
        <v>114.33750000000001</v>
      </c>
      <c r="AF22" s="25">
        <f t="shared" si="3"/>
        <v>6.9000000000000057</v>
      </c>
    </row>
    <row r="23" spans="1:34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121</v>
      </c>
      <c r="L23" s="23">
        <v>141.9</v>
      </c>
      <c r="M23" s="23">
        <v>141.80000000000001</v>
      </c>
      <c r="N23" s="23">
        <v>113</v>
      </c>
      <c r="O23" s="23">
        <v>106.2</v>
      </c>
      <c r="P23" s="23">
        <v>101.2</v>
      </c>
      <c r="Q23" s="23">
        <v>122.8</v>
      </c>
      <c r="R23" s="23">
        <v>118.8</v>
      </c>
      <c r="S23" s="23">
        <v>121.2</v>
      </c>
      <c r="T23" s="23">
        <v>106.7</v>
      </c>
      <c r="U23" s="23">
        <v>170.5</v>
      </c>
      <c r="V23" s="23">
        <v>88.7</v>
      </c>
      <c r="W23" s="23">
        <v>86.5</v>
      </c>
      <c r="X23" s="23">
        <v>74.099999999999994</v>
      </c>
      <c r="Y23" s="23">
        <v>67.3</v>
      </c>
      <c r="Z23" s="23">
        <v>87.3</v>
      </c>
      <c r="AA23" s="23">
        <v>69.5</v>
      </c>
      <c r="AB23" s="23">
        <v>79.900000000000006</v>
      </c>
      <c r="AC23" s="23">
        <v>108.3</v>
      </c>
      <c r="AD23" s="46">
        <f t="shared" si="2"/>
        <v>106.66842105263159</v>
      </c>
      <c r="AF23" s="25">
        <f t="shared" si="3"/>
        <v>-21</v>
      </c>
    </row>
    <row r="24" spans="1:34" ht="15" customHeight="1" x14ac:dyDescent="0.2">
      <c r="A24" s="4" t="s">
        <v>22</v>
      </c>
      <c r="B24" s="5"/>
      <c r="C24" s="5">
        <v>41.9</v>
      </c>
      <c r="D24" s="5">
        <v>65.400000000000006</v>
      </c>
      <c r="E24" s="5">
        <v>65</v>
      </c>
      <c r="F24" s="5">
        <v>74.8</v>
      </c>
      <c r="G24" s="5">
        <v>64.099999999999994</v>
      </c>
      <c r="H24" s="5">
        <v>84</v>
      </c>
      <c r="I24" s="5">
        <v>114.2</v>
      </c>
      <c r="J24" s="5">
        <v>132.1</v>
      </c>
      <c r="K24" s="5">
        <v>107.3</v>
      </c>
      <c r="L24" s="5">
        <v>155.4</v>
      </c>
      <c r="M24" s="5">
        <v>148.19999999999999</v>
      </c>
      <c r="N24" s="5">
        <v>97.1</v>
      </c>
      <c r="O24" s="5">
        <v>70.599999999999994</v>
      </c>
      <c r="P24" s="6">
        <v>70.400000000000006</v>
      </c>
      <c r="Q24" s="6">
        <v>88.9</v>
      </c>
      <c r="R24" s="6">
        <v>106.8</v>
      </c>
      <c r="S24" s="6">
        <v>105.6</v>
      </c>
      <c r="T24" s="6">
        <v>150.4</v>
      </c>
      <c r="U24" s="6">
        <v>137.30000000000001</v>
      </c>
      <c r="V24" s="6">
        <v>107.1</v>
      </c>
      <c r="W24" s="6">
        <v>70.400000000000006</v>
      </c>
      <c r="X24" s="6">
        <v>49</v>
      </c>
      <c r="Y24" s="6">
        <v>68.900000000000006</v>
      </c>
      <c r="Z24" s="6">
        <v>68.099999999999994</v>
      </c>
      <c r="AA24" s="6">
        <v>98.7</v>
      </c>
      <c r="AB24" s="6">
        <v>103.3</v>
      </c>
      <c r="AC24" s="6">
        <v>82.9</v>
      </c>
      <c r="AD24" s="46">
        <f t="shared" si="2"/>
        <v>93.625925925925912</v>
      </c>
      <c r="AF24" s="25">
        <f t="shared" si="3"/>
        <v>-14.800000000000011</v>
      </c>
    </row>
    <row r="25" spans="1:34" ht="15" customHeight="1" x14ac:dyDescent="0.2">
      <c r="A25" s="22" t="s">
        <v>23</v>
      </c>
      <c r="B25" s="23"/>
      <c r="C25" s="23">
        <v>89.3</v>
      </c>
      <c r="D25" s="23"/>
      <c r="E25" s="23"/>
      <c r="F25" s="23"/>
      <c r="G25" s="23"/>
      <c r="H25" s="23"/>
      <c r="I25" s="23">
        <v>30.2</v>
      </c>
      <c r="J25" s="23">
        <v>67.599999999999994</v>
      </c>
      <c r="K25" s="23">
        <v>135.1</v>
      </c>
      <c r="L25" s="23">
        <v>158.19999999999999</v>
      </c>
      <c r="M25" s="23">
        <v>98</v>
      </c>
      <c r="N25" s="23">
        <v>217.3</v>
      </c>
      <c r="O25" s="23">
        <v>230.7</v>
      </c>
      <c r="P25" s="23">
        <v>184.9</v>
      </c>
      <c r="Q25" s="23">
        <v>97.3</v>
      </c>
      <c r="R25" s="23">
        <v>152.4</v>
      </c>
      <c r="S25" s="23">
        <v>166</v>
      </c>
      <c r="T25" s="23">
        <v>201.2</v>
      </c>
      <c r="U25" s="23">
        <v>139.6</v>
      </c>
      <c r="V25" s="23">
        <v>87.9</v>
      </c>
      <c r="W25" s="23">
        <v>79.3</v>
      </c>
      <c r="X25" s="23">
        <v>184.3</v>
      </c>
      <c r="Y25" s="23">
        <v>208.9</v>
      </c>
      <c r="Z25" s="23">
        <v>94.1</v>
      </c>
      <c r="AA25" s="23">
        <v>65.099999999999994</v>
      </c>
      <c r="AB25" s="23">
        <v>57</v>
      </c>
      <c r="AC25" s="23">
        <v>62.6</v>
      </c>
      <c r="AD25" s="46">
        <f t="shared" si="2"/>
        <v>127.59090909090911</v>
      </c>
      <c r="AF25" s="25">
        <f t="shared" si="3"/>
        <v>31.499999999999993</v>
      </c>
    </row>
    <row r="26" spans="1:34" ht="15" customHeight="1" x14ac:dyDescent="0.2">
      <c r="A26" s="4" t="s">
        <v>24</v>
      </c>
      <c r="B26" s="5">
        <v>47.7</v>
      </c>
      <c r="C26" s="5">
        <v>35.6</v>
      </c>
      <c r="D26" s="5">
        <v>56.8</v>
      </c>
      <c r="E26" s="5">
        <v>64.2</v>
      </c>
      <c r="F26" s="5">
        <v>89.2</v>
      </c>
      <c r="G26" s="5">
        <v>98.5</v>
      </c>
      <c r="H26" s="5">
        <v>92.5</v>
      </c>
      <c r="I26" s="5">
        <v>96.2</v>
      </c>
      <c r="J26" s="5">
        <v>127.3</v>
      </c>
      <c r="K26" s="5">
        <v>97.5</v>
      </c>
      <c r="L26" s="5">
        <v>118.6</v>
      </c>
      <c r="M26" s="5">
        <v>181.3</v>
      </c>
      <c r="N26" s="5">
        <v>140</v>
      </c>
      <c r="O26" s="5">
        <v>206</v>
      </c>
      <c r="P26" s="6">
        <v>193.9</v>
      </c>
      <c r="Q26" s="6">
        <v>146.69999999999999</v>
      </c>
      <c r="R26" s="6">
        <v>139.1</v>
      </c>
      <c r="S26" s="6">
        <v>114.1</v>
      </c>
      <c r="T26" s="6">
        <v>130.9</v>
      </c>
      <c r="U26" s="6">
        <v>108.6</v>
      </c>
      <c r="V26" s="6">
        <v>126.9</v>
      </c>
      <c r="W26" s="6">
        <v>78.19</v>
      </c>
      <c r="X26" s="6">
        <v>94.6</v>
      </c>
      <c r="Y26" s="6">
        <v>80.855481806684793</v>
      </c>
      <c r="Z26" s="6">
        <v>89.51</v>
      </c>
      <c r="AA26" s="6">
        <v>95.66</v>
      </c>
      <c r="AB26" s="6">
        <v>116.64</v>
      </c>
      <c r="AC26" s="6">
        <v>118.92</v>
      </c>
      <c r="AD26" s="46">
        <f t="shared" si="2"/>
        <v>110.21341006452444</v>
      </c>
      <c r="AF26" s="25">
        <f t="shared" si="3"/>
        <v>-29.409999999999997</v>
      </c>
    </row>
    <row r="27" spans="1:34" ht="15" customHeight="1" x14ac:dyDescent="0.2">
      <c r="A27" s="22" t="s">
        <v>25</v>
      </c>
      <c r="B27" s="23">
        <v>37.700000000000003</v>
      </c>
      <c r="C27" s="23">
        <v>33.6</v>
      </c>
      <c r="D27" s="23">
        <v>49</v>
      </c>
      <c r="E27" s="23">
        <v>50</v>
      </c>
      <c r="F27" s="23">
        <v>57.1</v>
      </c>
      <c r="G27" s="23">
        <v>86.9</v>
      </c>
      <c r="H27" s="23">
        <v>102.9</v>
      </c>
      <c r="I27" s="23">
        <v>89.2</v>
      </c>
      <c r="J27" s="23">
        <v>109.3</v>
      </c>
      <c r="K27" s="23">
        <v>85.4</v>
      </c>
      <c r="L27" s="23">
        <v>105.8</v>
      </c>
      <c r="M27" s="23">
        <v>64.2</v>
      </c>
      <c r="N27" s="23">
        <v>44.6</v>
      </c>
      <c r="O27" s="23">
        <v>133.80000000000001</v>
      </c>
      <c r="P27" s="23">
        <v>159.5</v>
      </c>
      <c r="Q27" s="23">
        <v>131</v>
      </c>
      <c r="R27" s="23">
        <v>125.01</v>
      </c>
      <c r="S27" s="23">
        <v>144.33000000000001</v>
      </c>
      <c r="T27" s="23">
        <v>124.02</v>
      </c>
      <c r="U27" s="23">
        <v>104.04</v>
      </c>
      <c r="V27" s="23">
        <v>154.9</v>
      </c>
      <c r="W27" s="23">
        <v>103.83</v>
      </c>
      <c r="X27" s="23">
        <v>103.8</v>
      </c>
      <c r="Y27" s="23">
        <v>79.7</v>
      </c>
      <c r="Z27" s="23">
        <v>90</v>
      </c>
      <c r="AA27" s="23">
        <v>77.5</v>
      </c>
      <c r="AB27" s="23">
        <v>75.5</v>
      </c>
      <c r="AC27" s="23">
        <v>81.112966769304037</v>
      </c>
      <c r="AD27" s="46">
        <f t="shared" si="2"/>
        <v>92.990820241760858</v>
      </c>
      <c r="AF27" s="25">
        <f t="shared" si="3"/>
        <v>8.8870332306959625</v>
      </c>
    </row>
    <row r="28" spans="1:34" ht="15" customHeight="1" x14ac:dyDescent="0.2">
      <c r="A28" s="4" t="s">
        <v>26</v>
      </c>
      <c r="B28" s="5">
        <v>177</v>
      </c>
      <c r="C28" s="5">
        <v>238.2</v>
      </c>
      <c r="D28" s="5"/>
      <c r="E28" s="5">
        <v>91.9</v>
      </c>
      <c r="F28" s="5">
        <v>131.1</v>
      </c>
      <c r="G28" s="5">
        <v>85.7</v>
      </c>
      <c r="H28" s="5">
        <v>208.6</v>
      </c>
      <c r="I28" s="5">
        <v>173.1</v>
      </c>
      <c r="J28" s="5">
        <v>195.1</v>
      </c>
      <c r="K28" s="5">
        <v>202.5</v>
      </c>
      <c r="L28" s="5">
        <v>216.7</v>
      </c>
      <c r="M28" s="5">
        <v>149.80000000000001</v>
      </c>
      <c r="N28" s="5">
        <v>96.5</v>
      </c>
      <c r="O28" s="5">
        <v>123.1</v>
      </c>
      <c r="P28" s="6">
        <v>243.3</v>
      </c>
      <c r="Q28" s="6">
        <v>371.7</v>
      </c>
      <c r="R28" s="6">
        <v>688.4</v>
      </c>
      <c r="S28" s="6">
        <v>418.9</v>
      </c>
      <c r="T28" s="6">
        <v>222.9</v>
      </c>
      <c r="U28" s="6">
        <v>241.5</v>
      </c>
      <c r="V28" s="6">
        <v>317.51</v>
      </c>
      <c r="W28" s="6">
        <v>153.44</v>
      </c>
      <c r="X28" s="6">
        <v>186.61</v>
      </c>
      <c r="Y28" s="6">
        <v>116.88181818181819</v>
      </c>
      <c r="Z28" s="6">
        <v>133.33636363636364</v>
      </c>
      <c r="AA28" s="6">
        <v>175.8818181818182</v>
      </c>
      <c r="AB28" s="6">
        <v>314.77090909090907</v>
      </c>
      <c r="AC28" s="6">
        <v>283.2</v>
      </c>
      <c r="AD28" s="46">
        <f t="shared" si="2"/>
        <v>220.6529966329966</v>
      </c>
      <c r="AF28" s="25">
        <f t="shared" si="3"/>
        <v>-149.86363636363635</v>
      </c>
    </row>
    <row r="29" spans="1:34" ht="15" customHeight="1" x14ac:dyDescent="0.2">
      <c r="A29" s="22" t="s">
        <v>27</v>
      </c>
      <c r="B29" s="23">
        <v>150.5</v>
      </c>
      <c r="C29" s="23">
        <v>87.4</v>
      </c>
      <c r="D29" s="23">
        <v>116</v>
      </c>
      <c r="E29" s="23">
        <v>69.3</v>
      </c>
      <c r="F29" s="23">
        <v>82.7</v>
      </c>
      <c r="G29" s="23">
        <v>99.7</v>
      </c>
      <c r="H29" s="23">
        <v>101.4</v>
      </c>
      <c r="I29" s="23">
        <v>195.7</v>
      </c>
      <c r="J29" s="23">
        <v>222.1</v>
      </c>
      <c r="K29" s="23">
        <v>254.4</v>
      </c>
      <c r="L29" s="23">
        <v>172.5</v>
      </c>
      <c r="M29" s="23">
        <v>171.9</v>
      </c>
      <c r="N29" s="23">
        <v>110.7</v>
      </c>
      <c r="O29" s="23">
        <v>90.8</v>
      </c>
      <c r="P29" s="23">
        <v>76.5</v>
      </c>
      <c r="Q29" s="23">
        <v>98.8</v>
      </c>
      <c r="R29" s="23">
        <v>115.9</v>
      </c>
      <c r="S29" s="23">
        <v>91.9</v>
      </c>
      <c r="T29" s="23">
        <v>54.2</v>
      </c>
      <c r="U29" s="23">
        <v>72.900000000000006</v>
      </c>
      <c r="V29" s="23">
        <v>78</v>
      </c>
      <c r="W29" s="23">
        <v>76</v>
      </c>
      <c r="X29" s="23">
        <v>75.599999999999994</v>
      </c>
      <c r="Y29" s="23">
        <v>68.5</v>
      </c>
      <c r="Z29" s="23">
        <v>88.3</v>
      </c>
      <c r="AA29" s="23">
        <v>93.6</v>
      </c>
      <c r="AB29" s="23">
        <v>93.7</v>
      </c>
      <c r="AC29" s="23">
        <v>106.4</v>
      </c>
      <c r="AD29" s="46">
        <f t="shared" si="2"/>
        <v>111.26428571428572</v>
      </c>
      <c r="AF29" s="25">
        <f t="shared" si="3"/>
        <v>-18.100000000000009</v>
      </c>
    </row>
    <row r="30" spans="1:34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F30" s="25">
        <f t="shared" si="3"/>
        <v>0</v>
      </c>
      <c r="AG30" s="2" t="s">
        <v>28</v>
      </c>
    </row>
    <row r="31" spans="1:34" ht="15" customHeight="1" x14ac:dyDescent="0.2">
      <c r="A31" s="21" t="s">
        <v>30</v>
      </c>
      <c r="B31" s="13">
        <f>MAX(B$4:B$29)</f>
        <v>177</v>
      </c>
      <c r="C31" s="13">
        <f>MAX(C$4:C$29)</f>
        <v>238.2</v>
      </c>
      <c r="D31" s="13">
        <f>MAX(D$4:D$29)</f>
        <v>248.6</v>
      </c>
      <c r="E31" s="13">
        <f t="shared" ref="E31:K31" si="4">MAX(E$4:E$29)</f>
        <v>232.9</v>
      </c>
      <c r="F31" s="13">
        <f t="shared" si="4"/>
        <v>321.5</v>
      </c>
      <c r="G31" s="13">
        <f t="shared" si="4"/>
        <v>171.3</v>
      </c>
      <c r="H31" s="13">
        <f t="shared" si="4"/>
        <v>208.6</v>
      </c>
      <c r="I31" s="13">
        <f t="shared" si="4"/>
        <v>255</v>
      </c>
      <c r="J31" s="13">
        <f t="shared" si="4"/>
        <v>306</v>
      </c>
      <c r="K31" s="13">
        <f t="shared" si="4"/>
        <v>254.4</v>
      </c>
      <c r="L31" s="13">
        <f t="shared" ref="L31:Q31" si="5">MAX(L$4:L$29)</f>
        <v>275.10000000000002</v>
      </c>
      <c r="M31" s="13">
        <f t="shared" si="5"/>
        <v>444.3</v>
      </c>
      <c r="N31" s="13">
        <f t="shared" si="5"/>
        <v>258.39999999999998</v>
      </c>
      <c r="O31" s="13">
        <f t="shared" si="5"/>
        <v>231.6</v>
      </c>
      <c r="P31" s="13">
        <f t="shared" si="5"/>
        <v>271.60000000000002</v>
      </c>
      <c r="Q31" s="13">
        <f t="shared" si="5"/>
        <v>371.7</v>
      </c>
      <c r="R31" s="13">
        <f>MAX(R$4:R$29)</f>
        <v>688.4</v>
      </c>
      <c r="S31" s="13">
        <f>MAX(S$4:S$29)</f>
        <v>418.9</v>
      </c>
      <c r="T31" s="13">
        <f>MAX(T$4:T$29)</f>
        <v>222.9</v>
      </c>
      <c r="U31" s="13">
        <f t="shared" ref="U31:AD31" si="6">MAX(U$4:U$29)</f>
        <v>333</v>
      </c>
      <c r="V31" s="13">
        <f t="shared" si="6"/>
        <v>317.51</v>
      </c>
      <c r="W31" s="13">
        <f t="shared" si="6"/>
        <v>449.4</v>
      </c>
      <c r="X31" s="13">
        <f t="shared" si="6"/>
        <v>186.61</v>
      </c>
      <c r="Y31" s="13">
        <f t="shared" si="6"/>
        <v>534</v>
      </c>
      <c r="Z31" s="13">
        <f t="shared" si="6"/>
        <v>376.4</v>
      </c>
      <c r="AA31" s="13">
        <f t="shared" si="6"/>
        <v>273</v>
      </c>
      <c r="AB31" s="13">
        <f t="shared" si="6"/>
        <v>314.77090909090907</v>
      </c>
      <c r="AC31" s="13">
        <f t="shared" si="6"/>
        <v>1559.5</v>
      </c>
      <c r="AD31" s="13">
        <f t="shared" si="6"/>
        <v>220.6529966329966</v>
      </c>
      <c r="AE31" s="25">
        <f>MAX(B31:AA31)</f>
        <v>688.4</v>
      </c>
      <c r="AF31" s="25">
        <f t="shared" si="3"/>
        <v>-1183.0999999999999</v>
      </c>
    </row>
    <row r="32" spans="1:34" ht="15" customHeight="1" x14ac:dyDescent="0.2">
      <c r="A32" s="12" t="s">
        <v>80</v>
      </c>
      <c r="B32" s="10">
        <f>MEDIAN(B$4:B$29)</f>
        <v>43.7</v>
      </c>
      <c r="C32" s="10">
        <f>MEDIAN(C$4:C$29)</f>
        <v>46.65</v>
      </c>
      <c r="D32" s="10">
        <f>MEDIAN(D$4:D$29)</f>
        <v>69.099999999999994</v>
      </c>
      <c r="E32" s="10">
        <f t="shared" ref="E32:K32" si="7">MEDIAN(E$4:E$29)</f>
        <v>69.599999999999994</v>
      </c>
      <c r="F32" s="10">
        <f t="shared" si="7"/>
        <v>82.2</v>
      </c>
      <c r="G32" s="10">
        <f t="shared" si="7"/>
        <v>85.7</v>
      </c>
      <c r="H32" s="10">
        <f t="shared" si="7"/>
        <v>85.95</v>
      </c>
      <c r="I32" s="10">
        <f t="shared" si="7"/>
        <v>88.55</v>
      </c>
      <c r="J32" s="10">
        <f t="shared" si="7"/>
        <v>106.5</v>
      </c>
      <c r="K32" s="10">
        <f t="shared" si="7"/>
        <v>125.4</v>
      </c>
      <c r="L32" s="10">
        <f t="shared" ref="L32:Q32" si="8">MEDIAN(L$4:L$29)</f>
        <v>115.55</v>
      </c>
      <c r="M32" s="10">
        <f t="shared" si="8"/>
        <v>146</v>
      </c>
      <c r="N32" s="10">
        <f t="shared" si="8"/>
        <v>111.85</v>
      </c>
      <c r="O32" s="10">
        <f t="shared" si="8"/>
        <v>126.9</v>
      </c>
      <c r="P32" s="10">
        <f t="shared" si="8"/>
        <v>124.25</v>
      </c>
      <c r="Q32" s="10">
        <f t="shared" si="8"/>
        <v>126.9</v>
      </c>
      <c r="R32" s="10">
        <f>MEDIAN(R$4:R$29)</f>
        <v>135.85</v>
      </c>
      <c r="S32" s="10">
        <f>MEDIAN(S$4:S$29)</f>
        <v>128.185</v>
      </c>
      <c r="T32" s="10">
        <f>MEDIAN(T$4:T$29)</f>
        <v>123.49</v>
      </c>
      <c r="U32" s="10">
        <f t="shared" ref="U32:AD32" si="9">MEDIAN(U$4:U$29)</f>
        <v>107.55</v>
      </c>
      <c r="V32" s="10">
        <f t="shared" si="9"/>
        <v>107.75</v>
      </c>
      <c r="W32" s="10">
        <f t="shared" si="9"/>
        <v>81.375</v>
      </c>
      <c r="X32" s="10">
        <f t="shared" si="9"/>
        <v>90.384999999999991</v>
      </c>
      <c r="Y32" s="10">
        <f t="shared" si="9"/>
        <v>104.25</v>
      </c>
      <c r="Z32" s="10">
        <f t="shared" si="9"/>
        <v>115.5</v>
      </c>
      <c r="AA32" s="10">
        <f t="shared" si="9"/>
        <v>97.18</v>
      </c>
      <c r="AB32" s="10">
        <f t="shared" si="9"/>
        <v>109.75</v>
      </c>
      <c r="AC32" s="10">
        <f t="shared" si="9"/>
        <v>108.3</v>
      </c>
      <c r="AD32" s="10">
        <f t="shared" si="9"/>
        <v>114.53529167324922</v>
      </c>
      <c r="AF32" s="25">
        <f t="shared" si="3"/>
        <v>7.2000000000000028</v>
      </c>
      <c r="AH32" s="25"/>
    </row>
    <row r="33" spans="1:35" ht="15" customHeight="1" x14ac:dyDescent="0.2">
      <c r="A33" s="21" t="s">
        <v>31</v>
      </c>
      <c r="B33" s="13">
        <f>MIN(B$4:B$29)</f>
        <v>18.100000000000001</v>
      </c>
      <c r="C33" s="13">
        <f>MIN(C$4:C$29)</f>
        <v>-20.5</v>
      </c>
      <c r="D33" s="13">
        <f>MIN(D$4:D$29)</f>
        <v>27.9</v>
      </c>
      <c r="E33" s="13">
        <f t="shared" ref="E33:K33" si="10">MIN(E$4:E$29)</f>
        <v>21.5</v>
      </c>
      <c r="F33" s="13">
        <f t="shared" si="10"/>
        <v>6.4</v>
      </c>
      <c r="G33" s="13">
        <f t="shared" si="10"/>
        <v>10.4</v>
      </c>
      <c r="H33" s="13">
        <f t="shared" si="10"/>
        <v>39.799999999999997</v>
      </c>
      <c r="I33" s="13">
        <f t="shared" si="10"/>
        <v>27.9</v>
      </c>
      <c r="J33" s="13">
        <f t="shared" si="10"/>
        <v>24.9</v>
      </c>
      <c r="K33" s="13">
        <f t="shared" si="10"/>
        <v>27.9</v>
      </c>
      <c r="L33" s="13">
        <f t="shared" ref="L33:Q33" si="11">MIN(L$4:L$29)</f>
        <v>32</v>
      </c>
      <c r="M33" s="13">
        <f t="shared" si="11"/>
        <v>24</v>
      </c>
      <c r="N33" s="13">
        <f t="shared" si="11"/>
        <v>4</v>
      </c>
      <c r="O33" s="13">
        <f t="shared" si="11"/>
        <v>14.4</v>
      </c>
      <c r="P33" s="13">
        <f t="shared" si="11"/>
        <v>16</v>
      </c>
      <c r="Q33" s="13">
        <f t="shared" si="11"/>
        <v>88.9</v>
      </c>
      <c r="R33" s="13">
        <f>MIN(R$4:R$29)</f>
        <v>44.6</v>
      </c>
      <c r="S33" s="13">
        <f>MIN(S$4:S$29)</f>
        <v>85.7</v>
      </c>
      <c r="T33" s="13">
        <f>MIN(T$4:T$29)</f>
        <v>54.2</v>
      </c>
      <c r="U33" s="13">
        <f t="shared" ref="U33:AD33" si="12">MIN(U$4:U$29)</f>
        <v>52.5</v>
      </c>
      <c r="V33" s="13">
        <f t="shared" si="12"/>
        <v>66.64</v>
      </c>
      <c r="W33" s="13">
        <f t="shared" si="12"/>
        <v>24.5</v>
      </c>
      <c r="X33" s="13">
        <f t="shared" si="12"/>
        <v>49</v>
      </c>
      <c r="Y33" s="13">
        <f t="shared" si="12"/>
        <v>63.1</v>
      </c>
      <c r="Z33" s="13">
        <f t="shared" si="12"/>
        <v>68.099999999999994</v>
      </c>
      <c r="AA33" s="13">
        <f t="shared" si="12"/>
        <v>51.6</v>
      </c>
      <c r="AB33" s="13">
        <f t="shared" si="12"/>
        <v>43</v>
      </c>
      <c r="AC33" s="13">
        <f t="shared" si="12"/>
        <v>62.6</v>
      </c>
      <c r="AD33" s="13">
        <f t="shared" si="12"/>
        <v>66.065357142857152</v>
      </c>
      <c r="AF33" s="25">
        <f t="shared" si="3"/>
        <v>5.4999999999999929</v>
      </c>
    </row>
    <row r="34" spans="1:35" ht="15" customHeight="1" x14ac:dyDescent="0.2">
      <c r="A34" s="2" t="s">
        <v>81</v>
      </c>
      <c r="B34" s="8">
        <f>AVERAGE(B4:B29)</f>
        <v>64.292307692307688</v>
      </c>
      <c r="C34" s="8">
        <f>AVERAGE(C4:C29)</f>
        <v>61.955555555555556</v>
      </c>
      <c r="D34" s="8">
        <f>AVERAGE(D4:D29)</f>
        <v>81.629411764705878</v>
      </c>
      <c r="E34" s="8">
        <f t="shared" ref="E34:K34" si="13">AVERAGE(E4:E29)</f>
        <v>80.414285714285711</v>
      </c>
      <c r="F34" s="8">
        <f t="shared" si="13"/>
        <v>90.60499999999999</v>
      </c>
      <c r="G34" s="8">
        <f t="shared" si="13"/>
        <v>82.180952380952391</v>
      </c>
      <c r="H34" s="8">
        <f t="shared" si="13"/>
        <v>89.872727272727275</v>
      </c>
      <c r="I34" s="8">
        <f t="shared" si="13"/>
        <v>100.24583333333334</v>
      </c>
      <c r="J34" s="8">
        <f t="shared" si="13"/>
        <v>118.44782608695652</v>
      </c>
      <c r="K34" s="8">
        <f t="shared" si="13"/>
        <v>133.52000000000001</v>
      </c>
      <c r="L34" s="8">
        <f t="shared" ref="L34:S34" si="14">AVERAGE(L4:L29)</f>
        <v>121.94615384615382</v>
      </c>
      <c r="M34" s="8">
        <f t="shared" si="14"/>
        <v>148.91538461538465</v>
      </c>
      <c r="N34" s="8">
        <f t="shared" si="14"/>
        <v>116.06153846153848</v>
      </c>
      <c r="O34" s="8">
        <f t="shared" si="14"/>
        <v>128.86467592248832</v>
      </c>
      <c r="P34" s="8">
        <f t="shared" si="14"/>
        <v>125.82141026902241</v>
      </c>
      <c r="Q34" s="8">
        <f t="shared" si="14"/>
        <v>149.26442022925255</v>
      </c>
      <c r="R34" s="8">
        <f t="shared" si="14"/>
        <v>165.8897534000462</v>
      </c>
      <c r="S34" s="8">
        <f t="shared" si="14"/>
        <v>147.20468059761515</v>
      </c>
      <c r="T34" s="8">
        <f>AVERAGE(T4:T29)</f>
        <v>129.81846153846152</v>
      </c>
      <c r="U34" s="8">
        <f t="shared" ref="U34:AD34" si="15">AVERAGE(U4:U29)</f>
        <v>130.61423076923077</v>
      </c>
      <c r="V34" s="8">
        <f t="shared" si="15"/>
        <v>117.14153846153847</v>
      </c>
      <c r="W34" s="8">
        <f t="shared" ref="W34:X34" si="16">AVERAGE(W4:W29)</f>
        <v>98.61615384615385</v>
      </c>
      <c r="X34" s="8">
        <f t="shared" si="16"/>
        <v>96.915687800881329</v>
      </c>
      <c r="Y34" s="8">
        <f t="shared" ref="Y34:Z34" si="17">AVERAGE(Y4:Y29)</f>
        <v>126.39451153801934</v>
      </c>
      <c r="Z34" s="8">
        <f t="shared" si="17"/>
        <v>132.60101398601404</v>
      </c>
      <c r="AA34" s="8">
        <f t="shared" ref="AA34:AB34" si="18">AVERAGE(AA4:AA29)</f>
        <v>115.65160839160836</v>
      </c>
      <c r="AB34" s="8">
        <f t="shared" si="18"/>
        <v>120.56523710107477</v>
      </c>
      <c r="AC34" s="8">
        <f t="shared" ref="AC34" si="19">AVERAGE(AC4:AC29)</f>
        <v>176.29100608557724</v>
      </c>
      <c r="AD34" s="8">
        <f t="shared" si="15"/>
        <v>118.93560415958879</v>
      </c>
      <c r="AF34" s="25">
        <f t="shared" ref="AF34" si="20">Y34-AB34</f>
        <v>5.8292744369445728</v>
      </c>
      <c r="AH34" s="25"/>
      <c r="AI34" s="25"/>
    </row>
    <row r="35" spans="1:35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5" ht="15" customHeight="1" x14ac:dyDescent="0.2">
      <c r="A36" s="37" t="s">
        <v>0</v>
      </c>
      <c r="B36" s="43">
        <f>IF($A$36="","",VLOOKUP($A$36,$A$4:B29,(B2-1989)))</f>
        <v>44.7</v>
      </c>
      <c r="C36" s="43">
        <f>IF($A$36="","",VLOOKUP($A$36,$A$4:C29,(B2-1988)))</f>
        <v>48.3</v>
      </c>
      <c r="D36" s="43">
        <f>IF($A$36="","",VLOOKUP($A$36,$A$4:D29,(C2-1988)))</f>
        <v>55.2</v>
      </c>
      <c r="E36" s="43">
        <f>IF($A$36="","",VLOOKUP($A$36,$A$4:E29,(D2-1988)))</f>
        <v>75.3</v>
      </c>
      <c r="F36" s="43">
        <f>IF($A$36="","",VLOOKUP($A$36,$A$4:F29,(E2-1988)))</f>
        <v>108.8</v>
      </c>
      <c r="G36" s="43">
        <f>IF($A$36="","",VLOOKUP($A$36,$A$4:G29,(F2-1988)))</f>
        <v>171.3</v>
      </c>
      <c r="H36" s="43">
        <f>IF($A$36="","",VLOOKUP($A$36,$A$4:H29,(G2-1988)))</f>
        <v>139.30000000000001</v>
      </c>
      <c r="I36" s="43">
        <f>IF($A$36="","",VLOOKUP($A$36,$A$4:I29,(H2-1988)))</f>
        <v>127.1</v>
      </c>
      <c r="J36" s="43">
        <f>IF($A$36="","",VLOOKUP($A$36,$A$4:J29,(I2-1988)))</f>
        <v>108.4</v>
      </c>
      <c r="K36" s="43">
        <f>IF($A$36="","",VLOOKUP($A$36,$A$4:K29,(J2-1988)))</f>
        <v>128.9</v>
      </c>
      <c r="L36" s="43">
        <f>IF($A$36="","",VLOOKUP($A$36,$A$4:L29,(K2-1988)))</f>
        <v>127.6</v>
      </c>
      <c r="M36" s="43">
        <f>IF($A$36="","",VLOOKUP($A$36,$A$4:M29,(L2-1988)))</f>
        <v>119.3</v>
      </c>
      <c r="N36" s="43">
        <f>IF($A$36="","",VLOOKUP($A$36,$A$4:N29,(M2-1988)))</f>
        <v>149.19999999999999</v>
      </c>
      <c r="O36" s="43">
        <f>IF($A$36="","",VLOOKUP($A$36,$A$4:O29,(N2-1988)))</f>
        <v>134.6</v>
      </c>
      <c r="P36" s="43">
        <f>IF($A$36="","",VLOOKUP($A$36,$A$4:P29,(O2-1988)))</f>
        <v>112</v>
      </c>
      <c r="Q36" s="43">
        <f>IF($A$36="","",VLOOKUP($A$36,$A$4:Q29,(P2-1988)))</f>
        <v>138.6</v>
      </c>
      <c r="R36" s="43">
        <f>IF($A$36="","",VLOOKUP($A$36,$A$4:R29,(Q2-1988)))</f>
        <v>117.2</v>
      </c>
      <c r="S36" s="43">
        <f>IF($A$36="","",VLOOKUP($A$36,$A$4:S29,(R2-1988)))</f>
        <v>120.1</v>
      </c>
      <c r="T36" s="43">
        <f>IF($A$36="","",VLOOKUP($A$36,$A$4:T29,(S2-1988)))</f>
        <v>118.6</v>
      </c>
      <c r="U36" s="43">
        <f>IF($A$36="","",VLOOKUP($A$36,$A$4:U29,(T2-1988)))</f>
        <v>100</v>
      </c>
      <c r="V36" s="43">
        <f>IF($A$36="","",VLOOKUP($A$36,$A$4:V29,(U2-1988)))</f>
        <v>124.9</v>
      </c>
      <c r="W36" s="43">
        <f>IF($A$36="","",VLOOKUP($A$36,$A$4:W29,(V2-1988)))</f>
        <v>93.6</v>
      </c>
      <c r="X36" s="43">
        <f>IF($A$36="","",VLOOKUP($A$36,$A$4:X29,(W2-1988)))</f>
        <v>69</v>
      </c>
      <c r="Y36" s="43">
        <f>IF($A$36="","",VLOOKUP($A$36,$A$4:Y29,(X2-1988)))</f>
        <v>64.8</v>
      </c>
      <c r="Z36" s="43">
        <f>IF($A$36="","",VLOOKUP($A$36,$A$4:Z29,(Y2-1988)))</f>
        <v>69.900000000000006</v>
      </c>
      <c r="AA36" s="43">
        <f>IF($A$36="","",VLOOKUP($A$36,$A$4:AA29,(Z2-1988)))</f>
        <v>60.5</v>
      </c>
      <c r="AB36" s="43">
        <f>IF($A$36="","",VLOOKUP($A$36,$A$4:AB29,(AA2-1988)))</f>
        <v>84</v>
      </c>
      <c r="AC36" s="43">
        <f>IF($A$36="","",VLOOKUP($A$36,$A$4:AC29,(AB2-1988)))</f>
        <v>125.4</v>
      </c>
      <c r="AD36" s="43">
        <f>IF($A$36="","",VLOOKUP($A$36,$A$4:AD29,(V2-1988)))</f>
        <v>93.6</v>
      </c>
    </row>
    <row r="37" spans="1:35" ht="15" customHeight="1" x14ac:dyDescent="0.2">
      <c r="A37" s="39"/>
      <c r="B37" s="3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35" ht="15" customHeight="1" x14ac:dyDescent="0.2">
      <c r="A38" s="2" t="s">
        <v>29</v>
      </c>
    </row>
    <row r="39" spans="1:35" ht="15" customHeight="1" x14ac:dyDescent="0.2">
      <c r="P39" s="2"/>
    </row>
    <row r="40" spans="1:35" ht="15" customHeight="1" x14ac:dyDescent="0.2">
      <c r="A40" s="15" t="s">
        <v>35</v>
      </c>
    </row>
    <row r="41" spans="1:35" ht="22.5" x14ac:dyDescent="0.2">
      <c r="A41" s="35" t="s">
        <v>36</v>
      </c>
      <c r="B41" s="49">
        <f t="shared" ref="B41:P41" si="21">COUNTIF(B4:B29,"&gt;=100")</f>
        <v>2</v>
      </c>
      <c r="C41" s="49">
        <f t="shared" si="21"/>
        <v>2</v>
      </c>
      <c r="D41" s="49">
        <f t="shared" si="21"/>
        <v>4</v>
      </c>
      <c r="E41" s="49">
        <f t="shared" si="21"/>
        <v>2</v>
      </c>
      <c r="F41" s="49">
        <f t="shared" si="21"/>
        <v>4</v>
      </c>
      <c r="G41" s="49">
        <f t="shared" si="21"/>
        <v>4</v>
      </c>
      <c r="H41" s="49">
        <f t="shared" si="21"/>
        <v>8</v>
      </c>
      <c r="I41" s="49">
        <f t="shared" si="21"/>
        <v>8</v>
      </c>
      <c r="J41" s="49">
        <f t="shared" si="21"/>
        <v>14</v>
      </c>
      <c r="K41" s="49">
        <f t="shared" si="21"/>
        <v>18</v>
      </c>
      <c r="L41" s="49">
        <f t="shared" si="21"/>
        <v>16</v>
      </c>
      <c r="M41" s="49">
        <f t="shared" si="21"/>
        <v>18</v>
      </c>
      <c r="N41" s="49">
        <f t="shared" si="21"/>
        <v>16</v>
      </c>
      <c r="O41" s="49">
        <f t="shared" si="21"/>
        <v>19</v>
      </c>
      <c r="P41" s="49">
        <f t="shared" si="21"/>
        <v>19</v>
      </c>
      <c r="Q41" s="49">
        <f>COUNTIF(Q4:Q29,"&gt;=100")</f>
        <v>20</v>
      </c>
      <c r="R41" s="49">
        <f>COUNTIF(R4:R29,"&gt;=100")</f>
        <v>23</v>
      </c>
      <c r="S41" s="49">
        <f t="shared" ref="S41:AD41" si="22">COUNTIF(S4:S29,"&gt;=100")</f>
        <v>22</v>
      </c>
      <c r="T41" s="49">
        <f t="shared" si="22"/>
        <v>22</v>
      </c>
      <c r="U41" s="49">
        <f t="shared" si="22"/>
        <v>18</v>
      </c>
      <c r="V41" s="49">
        <f t="shared" si="22"/>
        <v>14</v>
      </c>
      <c r="W41" s="49">
        <f t="shared" si="22"/>
        <v>6</v>
      </c>
      <c r="X41" s="49">
        <f t="shared" si="22"/>
        <v>10</v>
      </c>
      <c r="Y41" s="49">
        <f t="shared" si="22"/>
        <v>15</v>
      </c>
      <c r="Z41" s="49">
        <f t="shared" si="22"/>
        <v>16</v>
      </c>
      <c r="AA41" s="49">
        <f t="shared" ref="AA41:AB41" si="23">COUNTIF(AA4:AA29,"&gt;=100")</f>
        <v>12</v>
      </c>
      <c r="AB41" s="49">
        <f t="shared" si="23"/>
        <v>15</v>
      </c>
      <c r="AC41" s="49">
        <f t="shared" ref="AC41" si="24">COUNTIF(AC4:AC29,"&gt;=100")</f>
        <v>16</v>
      </c>
      <c r="AD41" s="49">
        <f t="shared" si="22"/>
        <v>20</v>
      </c>
      <c r="AF41" s="2">
        <f>COUNTIF(AF4:AF29,"&lt;0")</f>
        <v>14</v>
      </c>
    </row>
    <row r="42" spans="1:35" ht="22.5" x14ac:dyDescent="0.2">
      <c r="A42" s="35" t="s">
        <v>37</v>
      </c>
      <c r="B42" s="49">
        <f t="shared" ref="B42:P42" si="25">COUNTIFS(B4:B29,"&lt;100",B4:B29,"&gt;=70")</f>
        <v>2</v>
      </c>
      <c r="C42" s="49">
        <f t="shared" si="25"/>
        <v>4</v>
      </c>
      <c r="D42" s="49">
        <f t="shared" si="25"/>
        <v>4</v>
      </c>
      <c r="E42" s="49">
        <f t="shared" si="25"/>
        <v>8</v>
      </c>
      <c r="F42" s="49">
        <f t="shared" si="25"/>
        <v>11</v>
      </c>
      <c r="G42" s="49">
        <f t="shared" si="25"/>
        <v>11</v>
      </c>
      <c r="H42" s="49">
        <f t="shared" si="25"/>
        <v>8</v>
      </c>
      <c r="I42" s="49">
        <f t="shared" si="25"/>
        <v>12</v>
      </c>
      <c r="J42" s="49">
        <f t="shared" si="25"/>
        <v>3</v>
      </c>
      <c r="K42" s="49">
        <f t="shared" si="25"/>
        <v>5</v>
      </c>
      <c r="L42" s="49">
        <f t="shared" si="25"/>
        <v>6</v>
      </c>
      <c r="M42" s="49">
        <f t="shared" si="25"/>
        <v>4</v>
      </c>
      <c r="N42" s="49">
        <f t="shared" si="25"/>
        <v>4</v>
      </c>
      <c r="O42" s="49">
        <f t="shared" si="25"/>
        <v>5</v>
      </c>
      <c r="P42" s="49">
        <f t="shared" si="25"/>
        <v>3</v>
      </c>
      <c r="Q42" s="49">
        <f>COUNTIFS(Q4:Q29,"&lt;100",Q4:Q29,"&gt;=70")</f>
        <v>6</v>
      </c>
      <c r="R42" s="49">
        <f>COUNTIFS(R4:R29,"&lt;100",R4:R29,"&gt;=70")</f>
        <v>1</v>
      </c>
      <c r="S42" s="49">
        <f t="shared" ref="S42:AD42" si="26">COUNTIFS(S4:S29,"&lt;100",S4:S29,"&gt;=70")</f>
        <v>4</v>
      </c>
      <c r="T42" s="49">
        <f t="shared" si="26"/>
        <v>2</v>
      </c>
      <c r="U42" s="49">
        <f t="shared" si="26"/>
        <v>4</v>
      </c>
      <c r="V42" s="49">
        <f t="shared" si="26"/>
        <v>10</v>
      </c>
      <c r="W42" s="49">
        <f t="shared" si="26"/>
        <v>14</v>
      </c>
      <c r="X42" s="49">
        <f t="shared" si="26"/>
        <v>9</v>
      </c>
      <c r="Y42" s="49">
        <f t="shared" si="26"/>
        <v>4</v>
      </c>
      <c r="Z42" s="49">
        <f t="shared" si="26"/>
        <v>8</v>
      </c>
      <c r="AA42" s="49">
        <f t="shared" ref="AA42:AB42" si="27">COUNTIFS(AA4:AA29,"&lt;100",AA4:AA29,"&gt;=70")</f>
        <v>8</v>
      </c>
      <c r="AB42" s="49">
        <f t="shared" si="27"/>
        <v>9</v>
      </c>
      <c r="AC42" s="49">
        <f t="shared" ref="AC42" si="28">COUNTIFS(AC4:AC29,"&lt;100",AC4:AC29,"&gt;=70")</f>
        <v>8</v>
      </c>
      <c r="AD42" s="49">
        <f t="shared" si="26"/>
        <v>5</v>
      </c>
    </row>
    <row r="43" spans="1:35" ht="22.5" x14ac:dyDescent="0.2">
      <c r="A43" s="35" t="s">
        <v>38</v>
      </c>
      <c r="B43" s="49">
        <f t="shared" ref="B43:P43" si="29">COUNTIFS(B4:B29,"&lt;70")</f>
        <v>9</v>
      </c>
      <c r="C43" s="49">
        <f t="shared" si="29"/>
        <v>12</v>
      </c>
      <c r="D43" s="49">
        <f t="shared" si="29"/>
        <v>9</v>
      </c>
      <c r="E43" s="49">
        <f t="shared" si="29"/>
        <v>11</v>
      </c>
      <c r="F43" s="49">
        <f t="shared" si="29"/>
        <v>5</v>
      </c>
      <c r="G43" s="49">
        <f t="shared" si="29"/>
        <v>6</v>
      </c>
      <c r="H43" s="49">
        <f t="shared" si="29"/>
        <v>6</v>
      </c>
      <c r="I43" s="49">
        <f t="shared" si="29"/>
        <v>4</v>
      </c>
      <c r="J43" s="49">
        <f t="shared" si="29"/>
        <v>6</v>
      </c>
      <c r="K43" s="49">
        <f t="shared" si="29"/>
        <v>2</v>
      </c>
      <c r="L43" s="49">
        <f t="shared" si="29"/>
        <v>4</v>
      </c>
      <c r="M43" s="49">
        <f t="shared" si="29"/>
        <v>4</v>
      </c>
      <c r="N43" s="49">
        <f t="shared" si="29"/>
        <v>6</v>
      </c>
      <c r="O43" s="49">
        <f t="shared" si="29"/>
        <v>2</v>
      </c>
      <c r="P43" s="49">
        <f t="shared" si="29"/>
        <v>4</v>
      </c>
      <c r="Q43" s="49">
        <f>COUNTIFS(Q4:Q29,"&lt;70")</f>
        <v>0</v>
      </c>
      <c r="R43" s="49">
        <f>COUNTIFS(R4:R29,"&lt;70")</f>
        <v>2</v>
      </c>
      <c r="S43" s="49">
        <f t="shared" ref="S43:AD43" si="30">COUNTIFS(S4:S29,"&lt;70")</f>
        <v>0</v>
      </c>
      <c r="T43" s="49">
        <f t="shared" si="30"/>
        <v>2</v>
      </c>
      <c r="U43" s="49">
        <f t="shared" si="30"/>
        <v>4</v>
      </c>
      <c r="V43" s="49">
        <f t="shared" si="30"/>
        <v>2</v>
      </c>
      <c r="W43" s="49">
        <f t="shared" si="30"/>
        <v>6</v>
      </c>
      <c r="X43" s="49">
        <f t="shared" si="30"/>
        <v>7</v>
      </c>
      <c r="Y43" s="49">
        <f t="shared" si="30"/>
        <v>7</v>
      </c>
      <c r="Z43" s="49">
        <f t="shared" si="30"/>
        <v>2</v>
      </c>
      <c r="AA43" s="49">
        <f t="shared" ref="AA43:AB43" si="31">COUNTIFS(AA4:AA29,"&lt;70")</f>
        <v>6</v>
      </c>
      <c r="AB43" s="49">
        <f t="shared" si="31"/>
        <v>2</v>
      </c>
      <c r="AC43" s="49">
        <f t="shared" ref="AC43" si="32">COUNTIFS(AC4:AC29,"&lt;70")</f>
        <v>1</v>
      </c>
      <c r="AD43" s="49">
        <f t="shared" si="30"/>
        <v>1</v>
      </c>
    </row>
    <row r="44" spans="1:35" x14ac:dyDescent="0.2">
      <c r="A44" s="2" t="s">
        <v>39</v>
      </c>
      <c r="B44" s="34">
        <f>COUNTIF(B4:B29,"&lt;=0")+COUNTIF(B4:B29,"&gt;0")</f>
        <v>13</v>
      </c>
      <c r="C44" s="34">
        <f t="shared" ref="C44:S44" si="33">COUNTIF(C4:C29,"&lt;=0")+COUNTIF(C4:C29,"&gt;0")</f>
        <v>18</v>
      </c>
      <c r="D44" s="34">
        <f t="shared" si="33"/>
        <v>17</v>
      </c>
      <c r="E44" s="34">
        <f t="shared" si="33"/>
        <v>21</v>
      </c>
      <c r="F44" s="34">
        <f t="shared" si="33"/>
        <v>20</v>
      </c>
      <c r="G44" s="34">
        <f t="shared" si="33"/>
        <v>21</v>
      </c>
      <c r="H44" s="34">
        <f t="shared" si="33"/>
        <v>22</v>
      </c>
      <c r="I44" s="34">
        <f t="shared" si="33"/>
        <v>24</v>
      </c>
      <c r="J44" s="34">
        <f t="shared" si="33"/>
        <v>23</v>
      </c>
      <c r="K44" s="34">
        <f t="shared" si="33"/>
        <v>25</v>
      </c>
      <c r="L44" s="34">
        <f t="shared" si="33"/>
        <v>26</v>
      </c>
      <c r="M44" s="34">
        <f t="shared" si="33"/>
        <v>26</v>
      </c>
      <c r="N44" s="34">
        <f t="shared" si="33"/>
        <v>26</v>
      </c>
      <c r="O44" s="34">
        <f t="shared" si="33"/>
        <v>26</v>
      </c>
      <c r="P44" s="34">
        <f t="shared" si="33"/>
        <v>26</v>
      </c>
      <c r="Q44" s="34">
        <f t="shared" si="33"/>
        <v>26</v>
      </c>
      <c r="R44" s="50">
        <f t="shared" si="33"/>
        <v>26</v>
      </c>
      <c r="S44" s="50">
        <f t="shared" si="33"/>
        <v>26</v>
      </c>
      <c r="T44" s="50">
        <f>COUNTIF(T4:T29,"&lt;=0")+COUNTIF(T4:T29,"&gt;0")</f>
        <v>26</v>
      </c>
      <c r="U44" s="50">
        <f t="shared" ref="U44:AD44" si="34">COUNTIF(U4:U29,"&lt;=0")+COUNTIF(U4:U29,"&gt;0")</f>
        <v>26</v>
      </c>
      <c r="V44" s="50">
        <f t="shared" si="34"/>
        <v>26</v>
      </c>
      <c r="W44" s="50">
        <f t="shared" ref="W44:X44" si="35">COUNTIF(W4:W29,"&lt;=0")+COUNTIF(W4:W29,"&gt;0")</f>
        <v>26</v>
      </c>
      <c r="X44" s="50">
        <f t="shared" si="35"/>
        <v>26</v>
      </c>
      <c r="Y44" s="50">
        <f t="shared" ref="Y44:Z44" si="36">COUNTIF(Y4:Y29,"&lt;=0")+COUNTIF(Y4:Y29,"&gt;0")</f>
        <v>26</v>
      </c>
      <c r="Z44" s="50">
        <f t="shared" si="36"/>
        <v>26</v>
      </c>
      <c r="AA44" s="50">
        <f t="shared" ref="AA44:AB44" si="37">COUNTIF(AA4:AA29,"&lt;=0")+COUNTIF(AA4:AA29,"&gt;0")</f>
        <v>26</v>
      </c>
      <c r="AB44" s="50">
        <f t="shared" si="37"/>
        <v>26</v>
      </c>
      <c r="AC44" s="50">
        <f t="shared" ref="AC44" si="38">COUNTIF(AC4:AC29,"&lt;=0")+COUNTIF(AC4:AC29,"&gt;0")</f>
        <v>25</v>
      </c>
      <c r="AD44" s="34">
        <f t="shared" si="34"/>
        <v>26</v>
      </c>
    </row>
    <row r="45" spans="1:35" ht="15" customHeight="1" x14ac:dyDescent="0.2">
      <c r="B45" s="25"/>
    </row>
    <row r="46" spans="1:35" ht="15" customHeight="1" x14ac:dyDescent="0.2">
      <c r="O46" s="2" t="s">
        <v>28</v>
      </c>
      <c r="P46" s="2"/>
    </row>
    <row r="48" spans="1:35" x14ac:dyDescent="0.2">
      <c r="AF48" s="48"/>
    </row>
    <row r="49" spans="23:35" x14ac:dyDescent="0.2">
      <c r="W49" s="49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23:35" x14ac:dyDescent="0.2"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23:35" x14ac:dyDescent="0.2"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23:35" x14ac:dyDescent="0.2"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23:35" x14ac:dyDescent="0.2"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</row>
    <row r="54" spans="23:35" x14ac:dyDescent="0.2"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  <row r="55" spans="23:35" x14ac:dyDescent="0.2"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</row>
  </sheetData>
  <autoFilter ref="A3:AD29"/>
  <phoneticPr fontId="4" type="noConversion"/>
  <conditionalFormatting sqref="B44:W44 AD44">
    <cfRule type="cellIs" dxfId="32" priority="6" stopIfTrue="1" operator="notEqual">
      <formula>SUM(B41:B43)</formula>
    </cfRule>
  </conditionalFormatting>
  <conditionalFormatting sqref="C36:W37 AD36:AD37 B36">
    <cfRule type="expression" dxfId="31" priority="3" stopIfTrue="1">
      <formula>OR(B36&lt;&gt;0,B36=0)</formula>
    </cfRule>
  </conditionalFormatting>
  <conditionalFormatting sqref="X44:AC44">
    <cfRule type="cellIs" dxfId="30" priority="2" stopIfTrue="1" operator="notEqual">
      <formula>SUM(X41:X43)</formula>
    </cfRule>
  </conditionalFormatting>
  <conditionalFormatting sqref="X36:AC37">
    <cfRule type="expression" dxfId="29" priority="1" stopIfTrue="1">
      <formula>OR(X36&lt;&gt;0,X36=0)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4" fitToHeight="2" orientation="landscape" r:id="rId1"/>
  <headerFooter alignWithMargins="0">
    <oddFooter>&amp;CSelbstfinanzierungsgrad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6" r:id="rId4" name="Group Box 1068">
              <controlPr defaultSize="0" autoFill="0" autoPict="0">
                <anchor moveWithCells="1">
                  <from>
                    <xdr:col>0</xdr:col>
                    <xdr:colOff>0</xdr:colOff>
                    <xdr:row>34</xdr:row>
                    <xdr:rowOff>76200</xdr:rowOff>
                  </from>
                  <to>
                    <xdr:col>9</xdr:col>
                    <xdr:colOff>266700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5"/>
  <sheetViews>
    <sheetView tabSelected="1" zoomScaleNormal="100" workbookViewId="0">
      <pane ySplit="2" topLeftCell="A15" activePane="bottomLeft" state="frozen"/>
      <selection pane="bottomLeft" activeCell="Z31" sqref="Z31"/>
    </sheetView>
  </sheetViews>
  <sheetFormatPr baseColWidth="10" defaultColWidth="11.42578125" defaultRowHeight="11.25" x14ac:dyDescent="0.2"/>
  <cols>
    <col min="1" max="1" width="15.7109375" style="2" customWidth="1"/>
    <col min="2" max="9" width="6.7109375" style="2" hidden="1" customWidth="1"/>
    <col min="10" max="30" width="6.7109375" style="2" customWidth="1"/>
    <col min="31" max="16384" width="11.42578125" style="2"/>
  </cols>
  <sheetData>
    <row r="1" spans="1:32" ht="15" customHeight="1" x14ac:dyDescent="0.2">
      <c r="A1" s="1" t="s">
        <v>32</v>
      </c>
      <c r="B1" s="28" t="s">
        <v>40</v>
      </c>
      <c r="C1" s="28" t="s">
        <v>40</v>
      </c>
      <c r="D1" s="28" t="s">
        <v>40</v>
      </c>
      <c r="E1" s="28" t="s">
        <v>40</v>
      </c>
      <c r="F1" s="28" t="s">
        <v>40</v>
      </c>
      <c r="G1" s="28" t="s">
        <v>40</v>
      </c>
      <c r="H1" s="28" t="s">
        <v>40</v>
      </c>
      <c r="I1" s="28" t="s">
        <v>40</v>
      </c>
      <c r="J1" s="28" t="s">
        <v>40</v>
      </c>
      <c r="K1" s="28" t="s">
        <v>40</v>
      </c>
      <c r="L1" s="28" t="s">
        <v>40</v>
      </c>
      <c r="M1" s="28" t="s">
        <v>40</v>
      </c>
      <c r="N1" s="28" t="s">
        <v>40</v>
      </c>
      <c r="O1" s="28" t="s">
        <v>40</v>
      </c>
      <c r="P1" s="28" t="s">
        <v>40</v>
      </c>
      <c r="Q1" s="28" t="s">
        <v>40</v>
      </c>
      <c r="R1" s="28" t="s">
        <v>40</v>
      </c>
      <c r="S1" s="28" t="s">
        <v>40</v>
      </c>
      <c r="T1" s="28" t="s">
        <v>40</v>
      </c>
      <c r="U1" s="28" t="s">
        <v>40</v>
      </c>
      <c r="V1" s="28" t="s">
        <v>40</v>
      </c>
      <c r="W1" s="28" t="s">
        <v>40</v>
      </c>
      <c r="X1" s="28" t="s">
        <v>40</v>
      </c>
      <c r="Y1" s="28" t="s">
        <v>40</v>
      </c>
      <c r="Z1" s="28" t="s">
        <v>40</v>
      </c>
      <c r="AA1" s="28" t="s">
        <v>40</v>
      </c>
      <c r="AB1" s="28" t="s">
        <v>40</v>
      </c>
      <c r="AC1" s="28" t="s">
        <v>40</v>
      </c>
      <c r="AD1" s="28" t="s">
        <v>40</v>
      </c>
    </row>
    <row r="2" spans="1:32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 t="shared" ref="M2:S2" si="1">L2+1</f>
        <v>2002</v>
      </c>
      <c r="N2" s="24">
        <f t="shared" si="1"/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 t="s">
        <v>85</v>
      </c>
      <c r="AF2" s="45" t="str">
        <f>'Degré d''autofinancement'!AF2</f>
        <v>2018-15</v>
      </c>
    </row>
    <row r="3" spans="1:32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2"/>
    </row>
    <row r="4" spans="1:32" ht="15" customHeight="1" x14ac:dyDescent="0.2">
      <c r="A4" s="4" t="s">
        <v>0</v>
      </c>
      <c r="B4" s="5">
        <v>12.7</v>
      </c>
      <c r="C4" s="5">
        <v>12.8</v>
      </c>
      <c r="D4" s="5">
        <v>13.1</v>
      </c>
      <c r="E4" s="5">
        <v>16.3</v>
      </c>
      <c r="F4" s="5">
        <v>16.7</v>
      </c>
      <c r="G4" s="5">
        <v>18.3</v>
      </c>
      <c r="H4" s="5">
        <v>17.5</v>
      </c>
      <c r="I4" s="5">
        <v>18.3</v>
      </c>
      <c r="J4" s="5">
        <v>16.2</v>
      </c>
      <c r="K4" s="5">
        <v>17.3</v>
      </c>
      <c r="L4" s="5">
        <v>16.7</v>
      </c>
      <c r="M4" s="5">
        <v>13.8</v>
      </c>
      <c r="N4" s="5">
        <v>17.100000000000001</v>
      </c>
      <c r="O4" s="6">
        <v>16.8</v>
      </c>
      <c r="P4" s="6">
        <v>15.3</v>
      </c>
      <c r="Q4" s="6">
        <v>16.3</v>
      </c>
      <c r="R4" s="6">
        <v>12.9</v>
      </c>
      <c r="S4" s="6">
        <v>16.7</v>
      </c>
      <c r="T4" s="6">
        <v>12.5</v>
      </c>
      <c r="U4" s="6">
        <v>9.6</v>
      </c>
      <c r="V4" s="6">
        <v>12.5</v>
      </c>
      <c r="W4" s="6">
        <v>9.8000000000000007</v>
      </c>
      <c r="X4" s="6">
        <v>9.4</v>
      </c>
      <c r="Y4" s="6">
        <v>10.1</v>
      </c>
      <c r="Z4" s="6">
        <v>10.4</v>
      </c>
      <c r="AA4" s="6">
        <v>8.5</v>
      </c>
      <c r="AB4" s="6">
        <v>10.8</v>
      </c>
      <c r="AC4" s="6">
        <v>14.8</v>
      </c>
      <c r="AD4" s="46">
        <f>AVERAGE(B4:AC4)</f>
        <v>14.042857142857144</v>
      </c>
      <c r="AF4" s="25">
        <f>Z4-AC4</f>
        <v>-4.4000000000000004</v>
      </c>
    </row>
    <row r="5" spans="1:32" ht="15" customHeight="1" x14ac:dyDescent="0.2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 t="s">
        <v>1</v>
      </c>
      <c r="M5" s="23" t="s">
        <v>1</v>
      </c>
      <c r="N5" s="23" t="s">
        <v>1</v>
      </c>
      <c r="O5" s="23" t="s">
        <v>1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3</v>
      </c>
      <c r="U5" s="23" t="s">
        <v>3</v>
      </c>
      <c r="V5" s="23" t="s">
        <v>78</v>
      </c>
      <c r="W5" s="23" t="s">
        <v>79</v>
      </c>
      <c r="X5" s="23" t="s">
        <v>1</v>
      </c>
      <c r="Y5" s="23">
        <v>9.4</v>
      </c>
      <c r="Z5" s="23">
        <v>11.2</v>
      </c>
      <c r="AA5" s="23">
        <v>7.9</v>
      </c>
      <c r="AB5" s="23">
        <v>8.8000000000000007</v>
      </c>
      <c r="AC5" s="23">
        <v>10</v>
      </c>
      <c r="AD5" s="46">
        <f t="shared" ref="AD5:AD29" si="3">AVERAGE(B5:AC5)</f>
        <v>9.4599999999999991</v>
      </c>
      <c r="AF5" s="25">
        <f t="shared" ref="AF5:AF34" si="4">Z5-AC5</f>
        <v>1.1999999999999993</v>
      </c>
    </row>
    <row r="6" spans="1:32" ht="15" customHeight="1" x14ac:dyDescent="0.2">
      <c r="A6" s="4" t="s">
        <v>4</v>
      </c>
      <c r="B6" s="5"/>
      <c r="C6" s="5">
        <v>11.3</v>
      </c>
      <c r="D6" s="5">
        <v>20.100000000000001</v>
      </c>
      <c r="E6" s="5">
        <v>29.5</v>
      </c>
      <c r="F6" s="5">
        <v>24.4</v>
      </c>
      <c r="G6" s="5">
        <v>11</v>
      </c>
      <c r="H6" s="5">
        <v>23</v>
      </c>
      <c r="I6" s="5">
        <v>17.399999999999999</v>
      </c>
      <c r="J6" s="5">
        <v>16.2</v>
      </c>
      <c r="K6" s="5">
        <v>19.7</v>
      </c>
      <c r="L6" s="5">
        <v>14</v>
      </c>
      <c r="M6" s="5">
        <v>17.100000000000001</v>
      </c>
      <c r="N6" s="5">
        <v>15.9</v>
      </c>
      <c r="O6" s="6">
        <v>13.8</v>
      </c>
      <c r="P6" s="6">
        <v>9.5</v>
      </c>
      <c r="Q6" s="6">
        <v>5.72</v>
      </c>
      <c r="R6" s="6">
        <v>2.71</v>
      </c>
      <c r="S6" s="6">
        <v>7.9</v>
      </c>
      <c r="T6" s="6">
        <v>8.8000000000000007</v>
      </c>
      <c r="U6" s="6">
        <v>12.74</v>
      </c>
      <c r="V6" s="6">
        <v>7.02</v>
      </c>
      <c r="W6" s="6">
        <v>4.54</v>
      </c>
      <c r="X6" s="6">
        <v>4.9000000000000004</v>
      </c>
      <c r="Y6" s="6">
        <v>10.44</v>
      </c>
      <c r="Z6" s="6">
        <v>10.87</v>
      </c>
      <c r="AA6" s="6">
        <v>7.79</v>
      </c>
      <c r="AB6" s="6">
        <v>8.84</v>
      </c>
      <c r="AC6" s="6">
        <v>5.64</v>
      </c>
      <c r="AD6" s="46">
        <f t="shared" si="3"/>
        <v>12.622592592592593</v>
      </c>
      <c r="AF6" s="25">
        <f t="shared" si="4"/>
        <v>5.2299999999999995</v>
      </c>
    </row>
    <row r="7" spans="1:32" ht="15" customHeight="1" x14ac:dyDescent="0.2">
      <c r="A7" s="22" t="s">
        <v>5</v>
      </c>
      <c r="B7" s="23">
        <v>5</v>
      </c>
      <c r="C7" s="23">
        <v>4</v>
      </c>
      <c r="D7" s="23">
        <v>9</v>
      </c>
      <c r="E7" s="23">
        <v>10</v>
      </c>
      <c r="F7" s="23">
        <v>10</v>
      </c>
      <c r="G7" s="23">
        <v>9</v>
      </c>
      <c r="H7" s="23">
        <v>12</v>
      </c>
      <c r="I7" s="23">
        <v>12</v>
      </c>
      <c r="J7" s="23">
        <v>11</v>
      </c>
      <c r="K7" s="23">
        <v>11.3</v>
      </c>
      <c r="L7" s="23">
        <v>8.8000000000000007</v>
      </c>
      <c r="M7" s="23">
        <v>9.1999999999999993</v>
      </c>
      <c r="N7" s="23">
        <v>9.8000000000000007</v>
      </c>
      <c r="O7" s="23">
        <v>9.9417865730090877</v>
      </c>
      <c r="P7" s="23">
        <v>10.768104495991285</v>
      </c>
      <c r="Q7" s="23">
        <v>10.468556299393704</v>
      </c>
      <c r="R7" s="23">
        <v>9.8563203062153679</v>
      </c>
      <c r="S7" s="23">
        <v>9.7915689616044972</v>
      </c>
      <c r="T7" s="23">
        <v>9.3000000000000007</v>
      </c>
      <c r="U7" s="23">
        <v>9.3623673194262462</v>
      </c>
      <c r="V7" s="23">
        <v>9.3623673194262462</v>
      </c>
      <c r="W7" s="23">
        <v>8.4</v>
      </c>
      <c r="X7" s="23">
        <v>7.736668201222753</v>
      </c>
      <c r="Y7" s="23">
        <v>10.3</v>
      </c>
      <c r="Z7" s="23">
        <v>13.1</v>
      </c>
      <c r="AA7" s="23">
        <v>5.8</v>
      </c>
      <c r="AB7" s="23">
        <v>11.2</v>
      </c>
      <c r="AC7" s="23">
        <v>10.4</v>
      </c>
      <c r="AD7" s="46">
        <f t="shared" si="3"/>
        <v>9.531704981296043</v>
      </c>
      <c r="AF7" s="25">
        <f t="shared" si="4"/>
        <v>2.6999999999999993</v>
      </c>
    </row>
    <row r="8" spans="1:32" ht="15" customHeight="1" x14ac:dyDescent="0.2">
      <c r="A8" s="4" t="s">
        <v>6</v>
      </c>
      <c r="B8" s="5"/>
      <c r="C8" s="5">
        <v>-2.1</v>
      </c>
      <c r="D8" s="5">
        <v>4.5999999999999996</v>
      </c>
      <c r="E8" s="5">
        <v>7.4</v>
      </c>
      <c r="F8" s="5">
        <v>4.2</v>
      </c>
      <c r="G8" s="5">
        <v>5.7</v>
      </c>
      <c r="H8" s="5">
        <v>5.0999999999999996</v>
      </c>
      <c r="I8" s="5">
        <v>7.8</v>
      </c>
      <c r="J8" s="5">
        <v>10.5</v>
      </c>
      <c r="K8" s="5">
        <v>12.6</v>
      </c>
      <c r="L8" s="5">
        <v>7.4</v>
      </c>
      <c r="M8" s="5">
        <v>4</v>
      </c>
      <c r="N8" s="5">
        <v>7.5</v>
      </c>
      <c r="O8" s="6">
        <v>6.4</v>
      </c>
      <c r="P8" s="6">
        <v>11.4</v>
      </c>
      <c r="Q8" s="6">
        <v>12.1</v>
      </c>
      <c r="R8" s="6">
        <v>13.4</v>
      </c>
      <c r="S8" s="6">
        <v>8.4</v>
      </c>
      <c r="T8" s="6">
        <v>10.9</v>
      </c>
      <c r="U8" s="6">
        <v>19.600000000000001</v>
      </c>
      <c r="V8" s="6">
        <v>9.1999999999999993</v>
      </c>
      <c r="W8" s="6">
        <v>9.6999999999999993</v>
      </c>
      <c r="X8" s="6">
        <v>7.3</v>
      </c>
      <c r="Y8" s="6">
        <v>9.1999999999999993</v>
      </c>
      <c r="Z8" s="6">
        <v>15.1</v>
      </c>
      <c r="AA8" s="6">
        <v>8.3000000000000007</v>
      </c>
      <c r="AB8" s="6">
        <v>11.4</v>
      </c>
      <c r="AC8" s="6">
        <v>11.7</v>
      </c>
      <c r="AD8" s="46">
        <f t="shared" si="3"/>
        <v>8.8444444444444432</v>
      </c>
      <c r="AF8" s="25">
        <f t="shared" si="4"/>
        <v>3.4000000000000004</v>
      </c>
    </row>
    <row r="9" spans="1:32" ht="15" customHeight="1" x14ac:dyDescent="0.2">
      <c r="A9" s="22" t="s">
        <v>7</v>
      </c>
      <c r="B9" s="23">
        <v>12.6</v>
      </c>
      <c r="C9" s="23">
        <v>9.8000000000000007</v>
      </c>
      <c r="D9" s="23">
        <v>11.7</v>
      </c>
      <c r="E9" s="23">
        <v>13.7</v>
      </c>
      <c r="F9" s="23">
        <v>12.4</v>
      </c>
      <c r="G9" s="23">
        <v>9.1999999999999993</v>
      </c>
      <c r="H9" s="23">
        <v>6.1</v>
      </c>
      <c r="I9" s="23">
        <v>6.4</v>
      </c>
      <c r="J9" s="23">
        <v>7.4</v>
      </c>
      <c r="K9" s="23">
        <v>7.1</v>
      </c>
      <c r="L9" s="23">
        <v>9.9</v>
      </c>
      <c r="M9" s="23">
        <v>12.1</v>
      </c>
      <c r="N9" s="23">
        <v>10.7</v>
      </c>
      <c r="O9" s="23">
        <v>10.3</v>
      </c>
      <c r="P9" s="23">
        <v>9.5</v>
      </c>
      <c r="Q9" s="23">
        <v>15.8</v>
      </c>
      <c r="R9" s="23">
        <v>14</v>
      </c>
      <c r="S9" s="23">
        <v>11.4</v>
      </c>
      <c r="T9" s="23">
        <v>11.8</v>
      </c>
      <c r="U9" s="23">
        <v>11.76</v>
      </c>
      <c r="V9" s="23">
        <v>11.1</v>
      </c>
      <c r="W9" s="23">
        <v>8.5</v>
      </c>
      <c r="X9" s="23">
        <v>11.2</v>
      </c>
      <c r="Y9" s="23">
        <v>9.1</v>
      </c>
      <c r="Z9" s="23">
        <v>10.4</v>
      </c>
      <c r="AA9" s="23">
        <v>8.9</v>
      </c>
      <c r="AB9" s="23">
        <v>8.9</v>
      </c>
      <c r="AC9" s="23">
        <v>9.6999999999999993</v>
      </c>
      <c r="AD9" s="46">
        <f t="shared" si="3"/>
        <v>10.409285714285712</v>
      </c>
      <c r="AF9" s="25">
        <f t="shared" si="4"/>
        <v>0.70000000000000107</v>
      </c>
    </row>
    <row r="10" spans="1:32" ht="15" customHeight="1" x14ac:dyDescent="0.2">
      <c r="A10" s="4" t="s">
        <v>8</v>
      </c>
      <c r="B10" s="5"/>
      <c r="C10" s="5"/>
      <c r="D10" s="5"/>
      <c r="E10" s="5"/>
      <c r="F10" s="5"/>
      <c r="G10" s="5">
        <v>8.5</v>
      </c>
      <c r="H10" s="5">
        <v>6.6</v>
      </c>
      <c r="I10" s="5">
        <v>5.2</v>
      </c>
      <c r="J10" s="5">
        <v>4.3</v>
      </c>
      <c r="K10" s="5">
        <v>4.3</v>
      </c>
      <c r="L10" s="5">
        <v>6.8</v>
      </c>
      <c r="M10" s="5">
        <v>10.8</v>
      </c>
      <c r="N10" s="5">
        <v>13.1</v>
      </c>
      <c r="O10" s="6">
        <v>11.7</v>
      </c>
      <c r="P10" s="6">
        <v>9.31</v>
      </c>
      <c r="Q10" s="6">
        <v>10.199999999999999</v>
      </c>
      <c r="R10" s="6">
        <v>11.86</v>
      </c>
      <c r="S10" s="6">
        <v>13.3</v>
      </c>
      <c r="T10" s="6">
        <v>12.2</v>
      </c>
      <c r="U10" s="6">
        <v>12.1</v>
      </c>
      <c r="V10" s="6">
        <v>11.26</v>
      </c>
      <c r="W10" s="6">
        <v>11.19</v>
      </c>
      <c r="X10" s="6">
        <v>9.49</v>
      </c>
      <c r="Y10" s="6">
        <v>10.56</v>
      </c>
      <c r="Z10" s="6">
        <v>12.2</v>
      </c>
      <c r="AA10" s="6">
        <v>13.1</v>
      </c>
      <c r="AB10" s="6">
        <v>13.4</v>
      </c>
      <c r="AC10" s="6">
        <v>10.56</v>
      </c>
      <c r="AD10" s="46">
        <f t="shared" si="3"/>
        <v>10.088260869565216</v>
      </c>
      <c r="AF10" s="25">
        <f t="shared" si="4"/>
        <v>1.6399999999999988</v>
      </c>
    </row>
    <row r="11" spans="1:32" ht="15" customHeight="1" x14ac:dyDescent="0.2">
      <c r="A11" s="22" t="s">
        <v>9</v>
      </c>
      <c r="B11" s="23">
        <v>16.100000000000001</v>
      </c>
      <c r="C11" s="23">
        <v>15.6</v>
      </c>
      <c r="D11" s="23">
        <v>14.2</v>
      </c>
      <c r="E11" s="23">
        <v>12.5</v>
      </c>
      <c r="F11" s="23">
        <v>9.4</v>
      </c>
      <c r="G11" s="23">
        <v>8.1999999999999993</v>
      </c>
      <c r="H11" s="23">
        <v>11.8</v>
      </c>
      <c r="I11" s="23">
        <v>13.9</v>
      </c>
      <c r="J11" s="23">
        <v>17.899999999999999</v>
      </c>
      <c r="K11" s="23">
        <v>21.7</v>
      </c>
      <c r="L11" s="23">
        <v>20.5</v>
      </c>
      <c r="M11" s="23">
        <v>20.8</v>
      </c>
      <c r="N11" s="23">
        <v>11.8</v>
      </c>
      <c r="O11" s="23">
        <v>15.9</v>
      </c>
      <c r="P11" s="23">
        <v>13.6</v>
      </c>
      <c r="Q11" s="23">
        <v>18</v>
      </c>
      <c r="R11" s="23">
        <v>20.3</v>
      </c>
      <c r="S11" s="23">
        <v>23</v>
      </c>
      <c r="T11" s="23">
        <v>22.7</v>
      </c>
      <c r="U11" s="23">
        <v>18.899999999999999</v>
      </c>
      <c r="V11" s="23">
        <v>14.2</v>
      </c>
      <c r="W11" s="23">
        <v>12.2</v>
      </c>
      <c r="X11" s="23">
        <v>11.2</v>
      </c>
      <c r="Y11" s="23">
        <v>17.100000000000001</v>
      </c>
      <c r="Z11" s="23">
        <v>16.3</v>
      </c>
      <c r="AA11" s="23">
        <v>16.100000000000001</v>
      </c>
      <c r="AB11" s="23">
        <v>17.2</v>
      </c>
      <c r="AC11" s="23">
        <v>17.899999999999999</v>
      </c>
      <c r="AD11" s="46">
        <f t="shared" si="3"/>
        <v>16.035714285714285</v>
      </c>
      <c r="AF11" s="25">
        <f t="shared" si="4"/>
        <v>-1.5999999999999979</v>
      </c>
    </row>
    <row r="12" spans="1:32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15.7</v>
      </c>
      <c r="I12" s="5">
        <v>15.9</v>
      </c>
      <c r="J12" s="5"/>
      <c r="K12" s="5">
        <v>13.2</v>
      </c>
      <c r="L12" s="5">
        <v>8.6</v>
      </c>
      <c r="M12" s="5">
        <v>5.9</v>
      </c>
      <c r="N12" s="5">
        <v>7.4</v>
      </c>
      <c r="O12" s="6">
        <v>9.1</v>
      </c>
      <c r="P12" s="6">
        <v>9</v>
      </c>
      <c r="Q12" s="6">
        <v>11.8</v>
      </c>
      <c r="R12" s="6">
        <v>12.4</v>
      </c>
      <c r="S12" s="6">
        <v>12.8</v>
      </c>
      <c r="T12" s="6">
        <v>13.5</v>
      </c>
      <c r="U12" s="6">
        <v>5.9</v>
      </c>
      <c r="V12" s="6">
        <v>15.7</v>
      </c>
      <c r="W12" s="6">
        <v>2.7</v>
      </c>
      <c r="X12" s="6">
        <v>4.9000000000000004</v>
      </c>
      <c r="Y12" s="6">
        <v>13.3</v>
      </c>
      <c r="Z12" s="6">
        <v>12.3</v>
      </c>
      <c r="AA12" s="6">
        <v>6.6</v>
      </c>
      <c r="AB12" s="6">
        <v>6.6</v>
      </c>
      <c r="AC12" s="6">
        <v>10</v>
      </c>
      <c r="AD12" s="46">
        <f t="shared" si="3"/>
        <v>10.157142857142858</v>
      </c>
      <c r="AF12" s="25">
        <f t="shared" si="4"/>
        <v>2.3000000000000007</v>
      </c>
    </row>
    <row r="13" spans="1:32" ht="15" customHeight="1" x14ac:dyDescent="0.2">
      <c r="A13" s="22" t="s">
        <v>11</v>
      </c>
      <c r="B13" s="23"/>
      <c r="C13" s="23"/>
      <c r="D13" s="23"/>
      <c r="E13" s="23">
        <v>17</v>
      </c>
      <c r="F13" s="23">
        <v>17.100000000000001</v>
      </c>
      <c r="G13" s="23">
        <v>15.8</v>
      </c>
      <c r="H13" s="23">
        <v>14.9</v>
      </c>
      <c r="I13" s="23">
        <v>12.5</v>
      </c>
      <c r="J13" s="23">
        <v>12.1</v>
      </c>
      <c r="K13" s="23">
        <v>14.2</v>
      </c>
      <c r="L13" s="23">
        <v>14.4</v>
      </c>
      <c r="M13" s="23">
        <v>18.100000000000001</v>
      </c>
      <c r="N13" s="23">
        <v>17.2</v>
      </c>
      <c r="O13" s="23">
        <v>18.600000000000001</v>
      </c>
      <c r="P13" s="23">
        <v>18.100000000000001</v>
      </c>
      <c r="Q13" s="23">
        <v>19.5</v>
      </c>
      <c r="R13" s="23">
        <v>21.3</v>
      </c>
      <c r="S13" s="23">
        <v>18.8</v>
      </c>
      <c r="T13" s="23">
        <v>16.09</v>
      </c>
      <c r="U13" s="23">
        <v>16</v>
      </c>
      <c r="V13" s="23">
        <v>15.9</v>
      </c>
      <c r="W13" s="23">
        <v>18.600000000000001</v>
      </c>
      <c r="X13" s="23">
        <v>17.399999999999999</v>
      </c>
      <c r="Y13" s="23">
        <v>18.16</v>
      </c>
      <c r="Z13" s="23">
        <v>17.48</v>
      </c>
      <c r="AA13" s="23">
        <v>18.72</v>
      </c>
      <c r="AB13" s="23">
        <v>19.07</v>
      </c>
      <c r="AC13" s="23">
        <v>18.899999999999999</v>
      </c>
      <c r="AD13" s="46">
        <f t="shared" si="3"/>
        <v>17.036799999999999</v>
      </c>
      <c r="AF13" s="25">
        <f t="shared" si="4"/>
        <v>-1.4199999999999982</v>
      </c>
    </row>
    <row r="14" spans="1:32" ht="15" customHeight="1" x14ac:dyDescent="0.2">
      <c r="A14" s="4" t="s">
        <v>12</v>
      </c>
      <c r="B14" s="5">
        <v>8.1</v>
      </c>
      <c r="C14" s="5">
        <v>4.9000000000000004</v>
      </c>
      <c r="D14" s="5">
        <v>5.8</v>
      </c>
      <c r="E14" s="5">
        <v>4.5999999999999996</v>
      </c>
      <c r="F14" s="5">
        <v>1.3</v>
      </c>
      <c r="G14" s="5">
        <v>1.6</v>
      </c>
      <c r="H14" s="5">
        <v>4.4000000000000004</v>
      </c>
      <c r="I14" s="5">
        <v>6.2</v>
      </c>
      <c r="J14" s="5">
        <v>6.7</v>
      </c>
      <c r="K14" s="5">
        <v>6.7</v>
      </c>
      <c r="L14" s="5">
        <v>5.4</v>
      </c>
      <c r="M14" s="5">
        <v>5.6</v>
      </c>
      <c r="N14" s="5">
        <v>4.2</v>
      </c>
      <c r="O14" s="6">
        <v>3.5</v>
      </c>
      <c r="P14" s="6">
        <v>2.6</v>
      </c>
      <c r="Q14" s="6">
        <v>27.8</v>
      </c>
      <c r="R14" s="6">
        <v>7.8</v>
      </c>
      <c r="S14" s="6">
        <v>9.6</v>
      </c>
      <c r="T14" s="6">
        <v>10.07</v>
      </c>
      <c r="U14" s="6">
        <v>7</v>
      </c>
      <c r="V14" s="6">
        <v>6.09</v>
      </c>
      <c r="W14" s="6">
        <v>9.77</v>
      </c>
      <c r="X14" s="6">
        <v>10.29</v>
      </c>
      <c r="Y14" s="6">
        <v>11.82</v>
      </c>
      <c r="Z14" s="6">
        <v>12.93</v>
      </c>
      <c r="AA14" s="6">
        <v>10</v>
      </c>
      <c r="AB14" s="6">
        <v>9.17</v>
      </c>
      <c r="AC14" s="6">
        <v>9.86</v>
      </c>
      <c r="AD14" s="46">
        <f t="shared" si="3"/>
        <v>7.6357142857142861</v>
      </c>
      <c r="AF14" s="25">
        <f t="shared" si="4"/>
        <v>3.0700000000000003</v>
      </c>
    </row>
    <row r="15" spans="1:32" ht="15" customHeight="1" x14ac:dyDescent="0.2">
      <c r="A15" s="22" t="s">
        <v>13</v>
      </c>
      <c r="B15" s="23"/>
      <c r="C15" s="23">
        <v>6.7</v>
      </c>
      <c r="D15" s="23">
        <v>9.1</v>
      </c>
      <c r="E15" s="23">
        <v>10</v>
      </c>
      <c r="F15" s="23">
        <v>10</v>
      </c>
      <c r="G15" s="23">
        <v>8.3000000000000007</v>
      </c>
      <c r="H15" s="23">
        <v>9.3000000000000007</v>
      </c>
      <c r="I15" s="23">
        <v>8.9</v>
      </c>
      <c r="J15" s="23">
        <v>9.4</v>
      </c>
      <c r="K15" s="23">
        <v>9.5</v>
      </c>
      <c r="L15" s="23">
        <v>6.2</v>
      </c>
      <c r="M15" s="23">
        <v>11</v>
      </c>
      <c r="N15" s="23">
        <v>9.3000000000000007</v>
      </c>
      <c r="O15" s="23">
        <v>9.3000000000000007</v>
      </c>
      <c r="P15" s="23">
        <v>10</v>
      </c>
      <c r="Q15" s="23">
        <v>11.08</v>
      </c>
      <c r="R15" s="23">
        <v>12.5</v>
      </c>
      <c r="S15" s="23">
        <v>10.7</v>
      </c>
      <c r="T15" s="23">
        <v>9.5500000000000007</v>
      </c>
      <c r="U15" s="23">
        <v>6.88</v>
      </c>
      <c r="V15" s="23">
        <v>6.38</v>
      </c>
      <c r="W15" s="23">
        <v>4.83</v>
      </c>
      <c r="X15" s="23">
        <v>6.8</v>
      </c>
      <c r="Y15" s="23">
        <v>9.6999999999999993</v>
      </c>
      <c r="Z15" s="23">
        <v>12.3</v>
      </c>
      <c r="AA15" s="23">
        <v>12.02</v>
      </c>
      <c r="AB15" s="23">
        <v>9.52</v>
      </c>
      <c r="AC15" s="23" t="s">
        <v>1</v>
      </c>
      <c r="AD15" s="46">
        <f t="shared" si="3"/>
        <v>9.2023076923076932</v>
      </c>
      <c r="AF15" s="25" t="e">
        <f t="shared" si="4"/>
        <v>#VALUE!</v>
      </c>
    </row>
    <row r="16" spans="1:32" ht="15" customHeight="1" x14ac:dyDescent="0.2">
      <c r="A16" s="4" t="s">
        <v>14</v>
      </c>
      <c r="B16" s="5">
        <v>4.7</v>
      </c>
      <c r="C16" s="5">
        <v>4.5999999999999996</v>
      </c>
      <c r="D16" s="5">
        <v>4.7</v>
      </c>
      <c r="E16" s="5">
        <v>5.3</v>
      </c>
      <c r="F16" s="5">
        <v>5</v>
      </c>
      <c r="G16" s="5">
        <v>4.8</v>
      </c>
      <c r="H16" s="5">
        <v>4.3</v>
      </c>
      <c r="I16" s="5">
        <v>3.9</v>
      </c>
      <c r="J16" s="5">
        <v>4.3</v>
      </c>
      <c r="K16" s="5">
        <v>5.4</v>
      </c>
      <c r="L16" s="5">
        <v>5.7</v>
      </c>
      <c r="M16" s="5">
        <v>5.9</v>
      </c>
      <c r="N16" s="5">
        <v>3</v>
      </c>
      <c r="O16" s="6">
        <v>1.3</v>
      </c>
      <c r="P16" s="6">
        <v>2.2999999999999998</v>
      </c>
      <c r="Q16" s="6">
        <v>6.3</v>
      </c>
      <c r="R16" s="6">
        <v>7.5</v>
      </c>
      <c r="S16" s="6">
        <v>8.4</v>
      </c>
      <c r="T16" s="6">
        <v>6.4</v>
      </c>
      <c r="U16" s="6">
        <v>6.1</v>
      </c>
      <c r="V16" s="6">
        <v>7.2</v>
      </c>
      <c r="W16" s="6">
        <v>7.4</v>
      </c>
      <c r="X16" s="6">
        <v>6.4</v>
      </c>
      <c r="Y16" s="6">
        <v>5.4</v>
      </c>
      <c r="Z16" s="6">
        <v>6.6</v>
      </c>
      <c r="AA16" s="6">
        <v>6</v>
      </c>
      <c r="AB16" s="6">
        <v>8.3000000000000007</v>
      </c>
      <c r="AC16" s="6">
        <v>9.6999999999999993</v>
      </c>
      <c r="AD16" s="46">
        <f t="shared" si="3"/>
        <v>5.6035714285714286</v>
      </c>
      <c r="AF16" s="25">
        <f t="shared" si="4"/>
        <v>-3.0999999999999996</v>
      </c>
    </row>
    <row r="17" spans="1:32" ht="15" customHeight="1" x14ac:dyDescent="0.2">
      <c r="A17" s="22" t="s">
        <v>15</v>
      </c>
      <c r="B17" s="23"/>
      <c r="C17" s="23"/>
      <c r="D17" s="23">
        <v>16.600000000000001</v>
      </c>
      <c r="E17" s="23">
        <v>14.6</v>
      </c>
      <c r="F17" s="23"/>
      <c r="G17" s="23"/>
      <c r="H17" s="23"/>
      <c r="I17" s="23"/>
      <c r="J17" s="23"/>
      <c r="K17" s="23"/>
      <c r="L17" s="23">
        <v>16.399999999999999</v>
      </c>
      <c r="M17" s="23">
        <v>20.2</v>
      </c>
      <c r="N17" s="23">
        <v>19.7</v>
      </c>
      <c r="O17" s="23">
        <v>11.9</v>
      </c>
      <c r="P17" s="23">
        <v>8.5</v>
      </c>
      <c r="Q17" s="23">
        <v>14.93</v>
      </c>
      <c r="R17" s="23">
        <v>14.32</v>
      </c>
      <c r="S17" s="23">
        <v>14.7</v>
      </c>
      <c r="T17" s="23">
        <v>13.02</v>
      </c>
      <c r="U17" s="23">
        <v>14.8</v>
      </c>
      <c r="V17" s="23">
        <v>12.9</v>
      </c>
      <c r="W17" s="23">
        <v>11.2</v>
      </c>
      <c r="X17" s="23">
        <v>9.1</v>
      </c>
      <c r="Y17" s="23">
        <v>6.9</v>
      </c>
      <c r="Z17" s="23">
        <v>6.7</v>
      </c>
      <c r="AA17" s="23">
        <v>9.1999999999999993</v>
      </c>
      <c r="AB17" s="23">
        <v>17</v>
      </c>
      <c r="AC17" s="23">
        <v>20.9</v>
      </c>
      <c r="AD17" s="46">
        <f t="shared" si="3"/>
        <v>13.6785</v>
      </c>
      <c r="AF17" s="25">
        <f t="shared" si="4"/>
        <v>-14.2</v>
      </c>
    </row>
    <row r="18" spans="1:32" ht="15" customHeight="1" x14ac:dyDescent="0.2">
      <c r="A18" s="4" t="s">
        <v>16</v>
      </c>
      <c r="B18" s="5"/>
      <c r="C18" s="5">
        <v>10</v>
      </c>
      <c r="D18" s="5">
        <v>10</v>
      </c>
      <c r="E18" s="5">
        <v>15.6</v>
      </c>
      <c r="F18" s="5">
        <v>13</v>
      </c>
      <c r="G18" s="5">
        <v>13.9</v>
      </c>
      <c r="H18" s="5">
        <v>7.4</v>
      </c>
      <c r="I18" s="5">
        <v>9.6999999999999993</v>
      </c>
      <c r="J18" s="5">
        <v>5.7</v>
      </c>
      <c r="K18" s="5">
        <v>11.1</v>
      </c>
      <c r="L18" s="5">
        <v>11.8</v>
      </c>
      <c r="M18" s="5">
        <v>19</v>
      </c>
      <c r="N18" s="5">
        <v>16</v>
      </c>
      <c r="O18" s="6">
        <v>16</v>
      </c>
      <c r="P18" s="6">
        <v>14.2</v>
      </c>
      <c r="Q18" s="6">
        <v>14.8</v>
      </c>
      <c r="R18" s="6">
        <v>17.100000000000001</v>
      </c>
      <c r="S18" s="6">
        <v>9.6999999999999993</v>
      </c>
      <c r="T18" s="6">
        <v>10.5</v>
      </c>
      <c r="U18" s="6">
        <v>17.29</v>
      </c>
      <c r="V18" s="6">
        <v>10.4</v>
      </c>
      <c r="W18" s="6">
        <v>7.28</v>
      </c>
      <c r="X18" s="6">
        <v>14.3</v>
      </c>
      <c r="Y18" s="6">
        <v>14.6</v>
      </c>
      <c r="Z18" s="6">
        <v>31.9</v>
      </c>
      <c r="AA18" s="6">
        <v>17.3</v>
      </c>
      <c r="AB18" s="6">
        <v>14.5</v>
      </c>
      <c r="AC18" s="6">
        <v>16.5</v>
      </c>
      <c r="AD18" s="46">
        <f t="shared" si="3"/>
        <v>13.687777777777777</v>
      </c>
      <c r="AF18" s="25">
        <f t="shared" si="4"/>
        <v>15.399999999999999</v>
      </c>
    </row>
    <row r="19" spans="1:32" ht="15" customHeight="1" x14ac:dyDescent="0.2">
      <c r="A19" s="22" t="s">
        <v>17</v>
      </c>
      <c r="B19" s="23"/>
      <c r="C19" s="23"/>
      <c r="D19" s="23"/>
      <c r="E19" s="23"/>
      <c r="F19" s="23">
        <v>14.8</v>
      </c>
      <c r="G19" s="23"/>
      <c r="H19" s="23"/>
      <c r="I19" s="23">
        <v>9.4</v>
      </c>
      <c r="J19" s="23">
        <v>4.5</v>
      </c>
      <c r="K19" s="23">
        <v>7.2</v>
      </c>
      <c r="L19" s="23">
        <v>5</v>
      </c>
      <c r="M19" s="23">
        <v>4.5999999999999996</v>
      </c>
      <c r="N19" s="23">
        <v>6.3</v>
      </c>
      <c r="O19" s="23">
        <v>12.6</v>
      </c>
      <c r="P19" s="23">
        <v>9.43</v>
      </c>
      <c r="Q19" s="23">
        <v>12.7</v>
      </c>
      <c r="R19" s="23">
        <v>10.199999999999999</v>
      </c>
      <c r="S19" s="23">
        <v>13.02</v>
      </c>
      <c r="T19" s="23">
        <v>12.25</v>
      </c>
      <c r="U19" s="23">
        <v>7.64</v>
      </c>
      <c r="V19" s="23">
        <v>9.52</v>
      </c>
      <c r="W19" s="23">
        <v>9.23</v>
      </c>
      <c r="X19" s="23">
        <v>9.83</v>
      </c>
      <c r="Y19" s="23">
        <v>12.47</v>
      </c>
      <c r="Z19" s="23">
        <v>12.8</v>
      </c>
      <c r="AA19" s="23">
        <v>16.649999999999999</v>
      </c>
      <c r="AB19" s="23">
        <v>15.714531985474213</v>
      </c>
      <c r="AC19" s="23">
        <v>8.4086887150234837</v>
      </c>
      <c r="AD19" s="46">
        <f t="shared" si="3"/>
        <v>10.193782759113533</v>
      </c>
      <c r="AF19" s="25">
        <f t="shared" si="4"/>
        <v>4.391311284976517</v>
      </c>
    </row>
    <row r="20" spans="1:32" ht="15" customHeight="1" x14ac:dyDescent="0.2">
      <c r="A20" s="4" t="s">
        <v>18</v>
      </c>
      <c r="B20" s="5"/>
      <c r="C20" s="5"/>
      <c r="D20" s="5"/>
      <c r="E20" s="5"/>
      <c r="F20" s="5"/>
      <c r="G20" s="5">
        <v>11</v>
      </c>
      <c r="H20" s="5">
        <v>11.9</v>
      </c>
      <c r="I20" s="5">
        <v>11.8</v>
      </c>
      <c r="J20" s="5">
        <v>15.4</v>
      </c>
      <c r="K20" s="5">
        <v>17.5</v>
      </c>
      <c r="L20" s="5">
        <v>11.7</v>
      </c>
      <c r="M20" s="5">
        <v>10.5</v>
      </c>
      <c r="N20" s="5">
        <v>0.3</v>
      </c>
      <c r="O20" s="6">
        <v>8.1300000000000008</v>
      </c>
      <c r="P20" s="6">
        <v>12.05</v>
      </c>
      <c r="Q20" s="6">
        <v>14.7</v>
      </c>
      <c r="R20" s="6">
        <v>13.9</v>
      </c>
      <c r="S20" s="6">
        <v>14.5</v>
      </c>
      <c r="T20" s="6">
        <v>15.1</v>
      </c>
      <c r="U20" s="6">
        <v>9.61</v>
      </c>
      <c r="V20" s="6">
        <v>7.3</v>
      </c>
      <c r="W20" s="6">
        <v>5.9</v>
      </c>
      <c r="X20" s="6">
        <v>6.25</v>
      </c>
      <c r="Y20" s="6">
        <v>9.3800000000000008</v>
      </c>
      <c r="Z20" s="6">
        <v>14.58</v>
      </c>
      <c r="AA20" s="6">
        <v>13.51</v>
      </c>
      <c r="AB20" s="6">
        <v>7.51</v>
      </c>
      <c r="AC20" s="6">
        <v>8</v>
      </c>
      <c r="AD20" s="46">
        <f t="shared" si="3"/>
        <v>10.892173913043477</v>
      </c>
      <c r="AF20" s="25">
        <f t="shared" si="4"/>
        <v>6.58</v>
      </c>
    </row>
    <row r="21" spans="1:32" ht="15" customHeight="1" x14ac:dyDescent="0.2">
      <c r="A21" s="22" t="s">
        <v>19</v>
      </c>
      <c r="B21" s="23">
        <v>11.8</v>
      </c>
      <c r="C21" s="23">
        <v>10</v>
      </c>
      <c r="D21" s="23">
        <v>5.9</v>
      </c>
      <c r="E21" s="23">
        <v>8.1999999999999993</v>
      </c>
      <c r="F21" s="23">
        <v>9.1999999999999993</v>
      </c>
      <c r="G21" s="23">
        <v>10.4</v>
      </c>
      <c r="H21" s="23">
        <v>10.7</v>
      </c>
      <c r="I21" s="23">
        <v>9.6</v>
      </c>
      <c r="J21" s="23">
        <v>8.8000000000000007</v>
      </c>
      <c r="K21" s="23">
        <v>12.2</v>
      </c>
      <c r="L21" s="23">
        <v>10.9</v>
      </c>
      <c r="M21" s="23">
        <v>17</v>
      </c>
      <c r="N21" s="23">
        <v>16.8</v>
      </c>
      <c r="O21" s="23">
        <v>13.1</v>
      </c>
      <c r="P21" s="23">
        <v>14.3</v>
      </c>
      <c r="Q21" s="23">
        <v>14.2</v>
      </c>
      <c r="R21" s="23">
        <v>16.8</v>
      </c>
      <c r="S21" s="23">
        <v>11.1</v>
      </c>
      <c r="T21" s="23">
        <v>11.7</v>
      </c>
      <c r="U21" s="23">
        <v>10.8</v>
      </c>
      <c r="V21" s="23">
        <v>10.7</v>
      </c>
      <c r="W21" s="23">
        <v>7.2</v>
      </c>
      <c r="X21" s="23">
        <v>6.5</v>
      </c>
      <c r="Y21" s="23">
        <v>8.5</v>
      </c>
      <c r="Z21" s="23">
        <v>10.7</v>
      </c>
      <c r="AA21" s="23">
        <v>12.6</v>
      </c>
      <c r="AB21" s="23">
        <v>12.5</v>
      </c>
      <c r="AC21" s="23">
        <v>12.5</v>
      </c>
      <c r="AD21" s="46">
        <f t="shared" si="3"/>
        <v>11.239285714285714</v>
      </c>
      <c r="AF21" s="25">
        <f t="shared" si="4"/>
        <v>-1.8000000000000007</v>
      </c>
    </row>
    <row r="22" spans="1:32" ht="15" customHeight="1" x14ac:dyDescent="0.2">
      <c r="A22" s="4" t="s">
        <v>20</v>
      </c>
      <c r="B22" s="5">
        <v>7.3</v>
      </c>
      <c r="C22" s="5">
        <v>9.4</v>
      </c>
      <c r="D22" s="5">
        <v>15.5</v>
      </c>
      <c r="E22" s="5">
        <v>13.6</v>
      </c>
      <c r="F22" s="5">
        <v>12.6</v>
      </c>
      <c r="G22" s="5">
        <v>11.7</v>
      </c>
      <c r="H22" s="5">
        <v>10.9</v>
      </c>
      <c r="I22" s="5">
        <v>12.3</v>
      </c>
      <c r="J22" s="5">
        <v>11</v>
      </c>
      <c r="K22" s="5">
        <v>12</v>
      </c>
      <c r="L22" s="5">
        <v>13.2</v>
      </c>
      <c r="M22" s="5">
        <v>12.5</v>
      </c>
      <c r="N22" s="5">
        <v>15.4</v>
      </c>
      <c r="O22" s="6">
        <v>13</v>
      </c>
      <c r="P22" s="6">
        <v>12.3</v>
      </c>
      <c r="Q22" s="6">
        <v>13.1</v>
      </c>
      <c r="R22" s="6">
        <v>15.4</v>
      </c>
      <c r="S22" s="6">
        <v>16.399999999999999</v>
      </c>
      <c r="T22" s="6">
        <v>14.7</v>
      </c>
      <c r="U22" s="6">
        <v>14.5</v>
      </c>
      <c r="V22" s="6">
        <v>13.5</v>
      </c>
      <c r="W22" s="6">
        <v>11.8</v>
      </c>
      <c r="X22" s="6">
        <v>11</v>
      </c>
      <c r="Y22" s="6">
        <v>12.5</v>
      </c>
      <c r="Z22" s="6">
        <v>13.9</v>
      </c>
      <c r="AA22" s="6">
        <v>13.2</v>
      </c>
      <c r="AB22" s="6">
        <v>14.2</v>
      </c>
      <c r="AC22" s="6">
        <v>13.4</v>
      </c>
      <c r="AD22" s="46">
        <f t="shared" si="3"/>
        <v>12.867857142857142</v>
      </c>
      <c r="AF22" s="25">
        <f t="shared" si="4"/>
        <v>0.5</v>
      </c>
    </row>
    <row r="23" spans="1:32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13.4</v>
      </c>
      <c r="L23" s="23">
        <v>15.5</v>
      </c>
      <c r="M23" s="23">
        <v>16.7</v>
      </c>
      <c r="N23" s="23">
        <v>13.6</v>
      </c>
      <c r="O23" s="23">
        <v>14.4</v>
      </c>
      <c r="P23" s="23">
        <v>13.1</v>
      </c>
      <c r="Q23" s="23">
        <v>14.4</v>
      </c>
      <c r="R23" s="23">
        <v>15.2</v>
      </c>
      <c r="S23" s="23">
        <v>18.399999999999999</v>
      </c>
      <c r="T23" s="23">
        <v>15.8</v>
      </c>
      <c r="U23" s="23">
        <v>17.399999999999999</v>
      </c>
      <c r="V23" s="23">
        <v>11.8</v>
      </c>
      <c r="W23" s="23">
        <v>11.8</v>
      </c>
      <c r="X23" s="23">
        <v>12.2</v>
      </c>
      <c r="Y23" s="23">
        <v>11</v>
      </c>
      <c r="Z23" s="23">
        <v>12</v>
      </c>
      <c r="AA23" s="23">
        <v>9.9</v>
      </c>
      <c r="AB23" s="23">
        <v>12.1</v>
      </c>
      <c r="AC23" s="23">
        <v>12.8</v>
      </c>
      <c r="AD23" s="46">
        <f t="shared" si="3"/>
        <v>13.763157894736842</v>
      </c>
      <c r="AF23" s="25">
        <f t="shared" si="4"/>
        <v>-0.80000000000000071</v>
      </c>
    </row>
    <row r="24" spans="1:32" ht="15" customHeight="1" x14ac:dyDescent="0.2">
      <c r="A24" s="4" t="s">
        <v>22</v>
      </c>
      <c r="B24" s="5"/>
      <c r="C24" s="5">
        <v>8.5</v>
      </c>
      <c r="D24" s="5">
        <v>9.6</v>
      </c>
      <c r="E24" s="5">
        <v>10.3</v>
      </c>
      <c r="F24" s="5">
        <v>10.1</v>
      </c>
      <c r="G24" s="5">
        <v>7.5</v>
      </c>
      <c r="H24" s="5">
        <v>9.9</v>
      </c>
      <c r="I24" s="5">
        <v>11.3</v>
      </c>
      <c r="J24" s="5">
        <v>13.3</v>
      </c>
      <c r="K24" s="5">
        <v>15.4</v>
      </c>
      <c r="L24" s="5">
        <v>15.3</v>
      </c>
      <c r="M24" s="5">
        <v>14.3</v>
      </c>
      <c r="N24" s="5">
        <v>11.7</v>
      </c>
      <c r="O24" s="6">
        <v>10.7</v>
      </c>
      <c r="P24" s="6">
        <v>8.9</v>
      </c>
      <c r="Q24" s="6">
        <v>11</v>
      </c>
      <c r="R24" s="6">
        <v>12.8</v>
      </c>
      <c r="S24" s="6">
        <v>10.8</v>
      </c>
      <c r="T24" s="6">
        <v>16.3</v>
      </c>
      <c r="U24" s="6">
        <v>16.100000000000001</v>
      </c>
      <c r="V24" s="6">
        <v>14.5</v>
      </c>
      <c r="W24" s="6">
        <v>9.1</v>
      </c>
      <c r="X24" s="6">
        <v>7.4</v>
      </c>
      <c r="Y24" s="6">
        <v>9.9</v>
      </c>
      <c r="Z24" s="6">
        <v>10.9</v>
      </c>
      <c r="AA24" s="6">
        <v>11.6</v>
      </c>
      <c r="AB24" s="6">
        <v>11.4</v>
      </c>
      <c r="AC24" s="6">
        <v>12.6</v>
      </c>
      <c r="AD24" s="46">
        <f t="shared" si="3"/>
        <v>11.525925925925925</v>
      </c>
      <c r="AF24" s="25">
        <f t="shared" si="4"/>
        <v>-1.6999999999999993</v>
      </c>
    </row>
    <row r="25" spans="1:32" ht="15" customHeight="1" x14ac:dyDescent="0.2">
      <c r="A25" s="22" t="s">
        <v>23</v>
      </c>
      <c r="B25" s="23">
        <v>11.7</v>
      </c>
      <c r="C25" s="23">
        <v>10.7</v>
      </c>
      <c r="D25" s="23">
        <v>11</v>
      </c>
      <c r="E25" s="23">
        <v>12.1</v>
      </c>
      <c r="F25" s="23">
        <v>12.6</v>
      </c>
      <c r="G25" s="23">
        <v>13.5</v>
      </c>
      <c r="H25" s="23">
        <v>12.5</v>
      </c>
      <c r="I25" s="23">
        <v>8.1999999999999993</v>
      </c>
      <c r="J25" s="23">
        <v>6.4</v>
      </c>
      <c r="K25" s="23">
        <v>9.3000000000000007</v>
      </c>
      <c r="L25" s="23">
        <v>12.2</v>
      </c>
      <c r="M25" s="23">
        <v>8.9</v>
      </c>
      <c r="N25" s="23">
        <v>9.1999999999999993</v>
      </c>
      <c r="O25" s="23">
        <v>8.9</v>
      </c>
      <c r="P25" s="23">
        <v>8.8000000000000007</v>
      </c>
      <c r="Q25" s="23">
        <v>7.8</v>
      </c>
      <c r="R25" s="23">
        <v>10.5</v>
      </c>
      <c r="S25" s="23">
        <v>13.7</v>
      </c>
      <c r="T25" s="23">
        <v>12.4</v>
      </c>
      <c r="U25" s="23">
        <v>13.1</v>
      </c>
      <c r="V25" s="23">
        <v>7</v>
      </c>
      <c r="W25" s="23">
        <v>6.2</v>
      </c>
      <c r="X25" s="23">
        <v>14.6</v>
      </c>
      <c r="Y25" s="23">
        <v>30.5</v>
      </c>
      <c r="Z25" s="23">
        <v>11.4</v>
      </c>
      <c r="AA25" s="23">
        <v>11.1</v>
      </c>
      <c r="AB25" s="23">
        <v>11.4</v>
      </c>
      <c r="AC25" s="23">
        <v>11.3</v>
      </c>
      <c r="AD25" s="46">
        <f t="shared" si="3"/>
        <v>11.321428571428569</v>
      </c>
      <c r="AF25" s="25">
        <f t="shared" si="4"/>
        <v>9.9999999999999645E-2</v>
      </c>
    </row>
    <row r="26" spans="1:32" ht="15" customHeight="1" x14ac:dyDescent="0.2">
      <c r="A26" s="4" t="s">
        <v>24</v>
      </c>
      <c r="B26" s="5">
        <v>13.4</v>
      </c>
      <c r="C26" s="5">
        <v>10.1</v>
      </c>
      <c r="D26" s="5">
        <v>11.5</v>
      </c>
      <c r="E26" s="5">
        <v>13</v>
      </c>
      <c r="F26" s="5">
        <v>14.7</v>
      </c>
      <c r="G26" s="5">
        <v>16.3</v>
      </c>
      <c r="H26" s="5">
        <v>15.4</v>
      </c>
      <c r="I26" s="5">
        <v>16.2</v>
      </c>
      <c r="J26" s="5">
        <v>18.100000000000001</v>
      </c>
      <c r="K26" s="5">
        <v>14.9</v>
      </c>
      <c r="L26" s="5">
        <v>15.3</v>
      </c>
      <c r="M26" s="5">
        <v>18.3</v>
      </c>
      <c r="N26" s="5">
        <v>16.399999999999999</v>
      </c>
      <c r="O26" s="6">
        <v>23.5</v>
      </c>
      <c r="P26" s="6">
        <v>17.7</v>
      </c>
      <c r="Q26" s="6">
        <v>22.2</v>
      </c>
      <c r="R26" s="6">
        <v>22.9</v>
      </c>
      <c r="S26" s="6">
        <v>22.4</v>
      </c>
      <c r="T26" s="6">
        <v>21.4</v>
      </c>
      <c r="U26" s="6">
        <v>20.399999999999999</v>
      </c>
      <c r="V26" s="6">
        <v>22.9</v>
      </c>
      <c r="W26" s="6">
        <v>19.71</v>
      </c>
      <c r="X26" s="6">
        <v>20.66</v>
      </c>
      <c r="Y26" s="6">
        <v>17.839940235827601</v>
      </c>
      <c r="Z26" s="6">
        <v>20.5</v>
      </c>
      <c r="AA26" s="6">
        <v>19.84</v>
      </c>
      <c r="AB26" s="6">
        <v>20.29</v>
      </c>
      <c r="AC26" s="6">
        <v>21.09</v>
      </c>
      <c r="AD26" s="46">
        <f t="shared" si="3"/>
        <v>18.104640722708126</v>
      </c>
      <c r="AF26" s="25">
        <f t="shared" si="4"/>
        <v>-0.58999999999999986</v>
      </c>
    </row>
    <row r="27" spans="1:32" ht="15" customHeight="1" x14ac:dyDescent="0.2">
      <c r="A27" s="22" t="s">
        <v>25</v>
      </c>
      <c r="B27" s="23">
        <v>9.1</v>
      </c>
      <c r="C27" s="23">
        <v>7.4</v>
      </c>
      <c r="D27" s="23">
        <v>9</v>
      </c>
      <c r="E27" s="23">
        <v>8</v>
      </c>
      <c r="F27" s="23">
        <v>8.3000000000000007</v>
      </c>
      <c r="G27" s="23">
        <v>8.1999999999999993</v>
      </c>
      <c r="H27" s="23">
        <v>8.5</v>
      </c>
      <c r="I27" s="23">
        <v>9.1</v>
      </c>
      <c r="J27" s="23">
        <v>11.2</v>
      </c>
      <c r="K27" s="23">
        <v>10</v>
      </c>
      <c r="L27" s="23">
        <v>11.1</v>
      </c>
      <c r="M27" s="23">
        <v>7.8</v>
      </c>
      <c r="N27" s="23">
        <v>5.4</v>
      </c>
      <c r="O27" s="23">
        <v>12.7</v>
      </c>
      <c r="P27" s="23">
        <v>15.6</v>
      </c>
      <c r="Q27" s="23">
        <v>13.5</v>
      </c>
      <c r="R27" s="23">
        <v>14.15</v>
      </c>
      <c r="S27" s="23">
        <v>13.91</v>
      </c>
      <c r="T27" s="23">
        <v>10.82</v>
      </c>
      <c r="U27" s="23">
        <v>11.62</v>
      </c>
      <c r="V27" s="23">
        <v>8.8000000000000007</v>
      </c>
      <c r="W27" s="23">
        <v>11.17</v>
      </c>
      <c r="X27" s="23">
        <v>10.8</v>
      </c>
      <c r="Y27" s="23">
        <v>9.1</v>
      </c>
      <c r="Z27" s="23">
        <v>9.6</v>
      </c>
      <c r="AA27" s="23">
        <v>8.3000000000000007</v>
      </c>
      <c r="AB27" s="23">
        <v>8.1</v>
      </c>
      <c r="AC27" s="23">
        <v>8.3552423440082553</v>
      </c>
      <c r="AD27" s="46">
        <f t="shared" si="3"/>
        <v>9.9866157980002974</v>
      </c>
      <c r="AF27" s="25">
        <f t="shared" si="4"/>
        <v>1.2447576559917444</v>
      </c>
    </row>
    <row r="28" spans="1:32" ht="15" customHeight="1" x14ac:dyDescent="0.2">
      <c r="A28" s="4" t="s">
        <v>26</v>
      </c>
      <c r="B28" s="5">
        <v>24</v>
      </c>
      <c r="C28" s="5">
        <v>22</v>
      </c>
      <c r="D28" s="5"/>
      <c r="E28" s="5">
        <v>18.5</v>
      </c>
      <c r="F28" s="5">
        <v>15.3</v>
      </c>
      <c r="G28" s="5">
        <v>12.2</v>
      </c>
      <c r="H28" s="5">
        <v>16</v>
      </c>
      <c r="I28" s="5">
        <v>17</v>
      </c>
      <c r="J28" s="5">
        <v>16.2</v>
      </c>
      <c r="K28" s="5">
        <v>16</v>
      </c>
      <c r="L28" s="5">
        <v>11.5</v>
      </c>
      <c r="M28" s="5">
        <v>11.7</v>
      </c>
      <c r="N28" s="5">
        <v>11.3</v>
      </c>
      <c r="O28" s="6">
        <v>17.5</v>
      </c>
      <c r="P28" s="6">
        <v>15.1</v>
      </c>
      <c r="Q28" s="6">
        <v>14.6</v>
      </c>
      <c r="R28" s="6">
        <v>17.5</v>
      </c>
      <c r="S28" s="6">
        <v>18.899999999999999</v>
      </c>
      <c r="T28" s="6">
        <v>16.3</v>
      </c>
      <c r="U28" s="6">
        <v>12.3</v>
      </c>
      <c r="V28" s="6">
        <v>16.39</v>
      </c>
      <c r="W28" s="6">
        <v>11.83</v>
      </c>
      <c r="X28" s="6">
        <v>13.89</v>
      </c>
      <c r="Y28" s="6">
        <v>10.833333333333334</v>
      </c>
      <c r="Z28" s="6">
        <v>10.6</v>
      </c>
      <c r="AA28" s="6">
        <v>14.430000000000001</v>
      </c>
      <c r="AB28" s="6">
        <v>14.2</v>
      </c>
      <c r="AC28" s="6">
        <v>17.3</v>
      </c>
      <c r="AD28" s="46">
        <f t="shared" si="3"/>
        <v>15.310123456790121</v>
      </c>
      <c r="AF28" s="25">
        <f t="shared" si="4"/>
        <v>-6.7000000000000011</v>
      </c>
    </row>
    <row r="29" spans="1:32" ht="15" customHeight="1" x14ac:dyDescent="0.2">
      <c r="A29" s="22" t="s">
        <v>27</v>
      </c>
      <c r="B29" s="23">
        <v>20.2</v>
      </c>
      <c r="C29" s="23">
        <v>10.1</v>
      </c>
      <c r="D29" s="23">
        <v>11.3</v>
      </c>
      <c r="E29" s="23">
        <v>13.6</v>
      </c>
      <c r="F29" s="23">
        <v>14.2</v>
      </c>
      <c r="G29" s="23">
        <v>8.1</v>
      </c>
      <c r="H29" s="23">
        <v>8.1999999999999993</v>
      </c>
      <c r="I29" s="23">
        <v>16.7</v>
      </c>
      <c r="J29" s="23">
        <v>15.2</v>
      </c>
      <c r="K29" s="23">
        <v>19.8</v>
      </c>
      <c r="L29" s="23">
        <v>20.399999999999999</v>
      </c>
      <c r="M29" s="23">
        <v>15.5</v>
      </c>
      <c r="N29" s="23">
        <v>11.8</v>
      </c>
      <c r="O29" s="23">
        <v>10.199999999999999</v>
      </c>
      <c r="P29" s="23">
        <v>8.8000000000000007</v>
      </c>
      <c r="Q29" s="23">
        <v>10.1</v>
      </c>
      <c r="R29" s="23">
        <v>13.1</v>
      </c>
      <c r="S29" s="23">
        <v>10.7</v>
      </c>
      <c r="T29" s="23">
        <v>12.1</v>
      </c>
      <c r="U29" s="23">
        <v>8.5</v>
      </c>
      <c r="V29" s="23">
        <v>8.6</v>
      </c>
      <c r="W29" s="23">
        <v>8.3000000000000007</v>
      </c>
      <c r="X29" s="23">
        <v>9.1</v>
      </c>
      <c r="Y29" s="23">
        <v>7.7</v>
      </c>
      <c r="Z29" s="23">
        <v>8.8000000000000007</v>
      </c>
      <c r="AA29" s="23">
        <v>10.3</v>
      </c>
      <c r="AB29" s="23">
        <v>12.9</v>
      </c>
      <c r="AC29" s="23">
        <v>11.4</v>
      </c>
      <c r="AD29" s="46">
        <f t="shared" si="3"/>
        <v>11.989285714285716</v>
      </c>
      <c r="AF29" s="25">
        <f t="shared" si="4"/>
        <v>-2.5999999999999996</v>
      </c>
    </row>
    <row r="30" spans="1:32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1"/>
      <c r="M30" s="11"/>
      <c r="N30" s="1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F30" s="25">
        <f t="shared" si="4"/>
        <v>0</v>
      </c>
    </row>
    <row r="31" spans="1:32" ht="15" customHeight="1" x14ac:dyDescent="0.2">
      <c r="A31" s="21" t="s">
        <v>30</v>
      </c>
      <c r="B31" s="13">
        <f>MAX(B$4:B$29)</f>
        <v>24</v>
      </c>
      <c r="C31" s="13">
        <f>MAX(C$4:C$29)</f>
        <v>22</v>
      </c>
      <c r="D31" s="13">
        <f>MAX(D$4:D$29)</f>
        <v>20.100000000000001</v>
      </c>
      <c r="E31" s="13">
        <f t="shared" ref="E31:K31" si="5">MAX(E$4:E$29)</f>
        <v>29.5</v>
      </c>
      <c r="F31" s="13">
        <f t="shared" si="5"/>
        <v>24.4</v>
      </c>
      <c r="G31" s="13">
        <f t="shared" si="5"/>
        <v>18.3</v>
      </c>
      <c r="H31" s="13">
        <f t="shared" si="5"/>
        <v>23</v>
      </c>
      <c r="I31" s="13">
        <f t="shared" si="5"/>
        <v>18.3</v>
      </c>
      <c r="J31" s="13">
        <f t="shared" si="5"/>
        <v>18.100000000000001</v>
      </c>
      <c r="K31" s="13">
        <f t="shared" si="5"/>
        <v>21.7</v>
      </c>
      <c r="L31" s="13">
        <f t="shared" ref="L31:AD31" si="6">MAX(L$4:L$29)</f>
        <v>20.5</v>
      </c>
      <c r="M31" s="13">
        <f t="shared" si="6"/>
        <v>20.8</v>
      </c>
      <c r="N31" s="13">
        <f t="shared" si="6"/>
        <v>19.7</v>
      </c>
      <c r="O31" s="13">
        <f t="shared" si="6"/>
        <v>23.5</v>
      </c>
      <c r="P31" s="13">
        <f t="shared" si="6"/>
        <v>18.100000000000001</v>
      </c>
      <c r="Q31" s="13">
        <f t="shared" si="6"/>
        <v>27.8</v>
      </c>
      <c r="R31" s="13">
        <f t="shared" si="6"/>
        <v>22.9</v>
      </c>
      <c r="S31" s="13">
        <f t="shared" si="6"/>
        <v>23</v>
      </c>
      <c r="T31" s="13">
        <f t="shared" si="6"/>
        <v>22.7</v>
      </c>
      <c r="U31" s="13">
        <f t="shared" si="6"/>
        <v>20.399999999999999</v>
      </c>
      <c r="V31" s="13">
        <f t="shared" si="6"/>
        <v>22.9</v>
      </c>
      <c r="W31" s="13">
        <f t="shared" si="6"/>
        <v>19.71</v>
      </c>
      <c r="X31" s="13">
        <f t="shared" si="6"/>
        <v>20.66</v>
      </c>
      <c r="Y31" s="13">
        <f t="shared" si="6"/>
        <v>30.5</v>
      </c>
      <c r="Z31" s="13">
        <f t="shared" si="6"/>
        <v>31.9</v>
      </c>
      <c r="AA31" s="13">
        <f t="shared" si="6"/>
        <v>19.84</v>
      </c>
      <c r="AB31" s="13">
        <f t="shared" si="6"/>
        <v>20.29</v>
      </c>
      <c r="AC31" s="13">
        <f t="shared" si="6"/>
        <v>21.09</v>
      </c>
      <c r="AD31" s="13">
        <f t="shared" si="6"/>
        <v>18.104640722708126</v>
      </c>
      <c r="AF31" s="25">
        <f t="shared" si="4"/>
        <v>10.809999999999999</v>
      </c>
    </row>
    <row r="32" spans="1:32" ht="15" customHeight="1" x14ac:dyDescent="0.2">
      <c r="A32" s="12" t="s">
        <v>80</v>
      </c>
      <c r="B32" s="10">
        <f>MEDIAN(B$4:B$29)</f>
        <v>11.8</v>
      </c>
      <c r="C32" s="10">
        <f>MEDIAN(C$4:C$29)</f>
        <v>9.9</v>
      </c>
      <c r="D32" s="10">
        <f>MEDIAN(D$4:D$29)</f>
        <v>10.5</v>
      </c>
      <c r="E32" s="10">
        <f t="shared" ref="E32:K32" si="7">MEDIAN(E$4:E$29)</f>
        <v>12.75</v>
      </c>
      <c r="F32" s="10">
        <f t="shared" si="7"/>
        <v>12.5</v>
      </c>
      <c r="G32" s="10">
        <f t="shared" si="7"/>
        <v>9.1999999999999993</v>
      </c>
      <c r="H32" s="10">
        <f t="shared" si="7"/>
        <v>10.8</v>
      </c>
      <c r="I32" s="10">
        <f t="shared" si="7"/>
        <v>11.3</v>
      </c>
      <c r="J32" s="10">
        <f t="shared" si="7"/>
        <v>11</v>
      </c>
      <c r="K32" s="10">
        <f t="shared" si="7"/>
        <v>12.399999999999999</v>
      </c>
      <c r="L32" s="10">
        <f t="shared" ref="L32:AD32" si="8">MEDIAN(L$4:L$29)</f>
        <v>11.7</v>
      </c>
      <c r="M32" s="10">
        <f t="shared" si="8"/>
        <v>12.1</v>
      </c>
      <c r="N32" s="10">
        <f t="shared" si="8"/>
        <v>11.7</v>
      </c>
      <c r="O32" s="10">
        <f t="shared" si="8"/>
        <v>11.9</v>
      </c>
      <c r="P32" s="10">
        <f t="shared" si="8"/>
        <v>10.768104495991285</v>
      </c>
      <c r="Q32" s="10">
        <f t="shared" si="8"/>
        <v>13.5</v>
      </c>
      <c r="R32" s="10">
        <f t="shared" si="8"/>
        <v>13.4</v>
      </c>
      <c r="S32" s="10">
        <f t="shared" si="8"/>
        <v>13.02</v>
      </c>
      <c r="T32" s="10">
        <f t="shared" si="8"/>
        <v>12.25</v>
      </c>
      <c r="U32" s="10">
        <f t="shared" si="8"/>
        <v>12.1</v>
      </c>
      <c r="V32" s="10">
        <f t="shared" si="8"/>
        <v>10.7</v>
      </c>
      <c r="W32" s="10">
        <f t="shared" si="8"/>
        <v>9.23</v>
      </c>
      <c r="X32" s="10">
        <f t="shared" si="8"/>
        <v>9.49</v>
      </c>
      <c r="Y32" s="10">
        <f t="shared" si="8"/>
        <v>10.370000000000001</v>
      </c>
      <c r="Z32" s="10">
        <f t="shared" si="8"/>
        <v>12.1</v>
      </c>
      <c r="AA32" s="10">
        <f t="shared" si="8"/>
        <v>10.7</v>
      </c>
      <c r="AB32" s="10">
        <f t="shared" si="8"/>
        <v>11.4</v>
      </c>
      <c r="AC32" s="10">
        <f t="shared" si="8"/>
        <v>11.4</v>
      </c>
      <c r="AD32" s="10">
        <f t="shared" si="8"/>
        <v>11.280357142857142</v>
      </c>
      <c r="AF32" s="25">
        <f t="shared" si="4"/>
        <v>0.69999999999999929</v>
      </c>
    </row>
    <row r="33" spans="1:32" ht="15" customHeight="1" x14ac:dyDescent="0.2">
      <c r="A33" s="21" t="s">
        <v>31</v>
      </c>
      <c r="B33" s="13">
        <f>MIN(B$4:B$29)</f>
        <v>4.7</v>
      </c>
      <c r="C33" s="13">
        <f>MIN(C$4:C$29)</f>
        <v>-2.1</v>
      </c>
      <c r="D33" s="13">
        <f>MIN(D$4:D$29)</f>
        <v>4.5999999999999996</v>
      </c>
      <c r="E33" s="13">
        <f t="shared" ref="E33:K33" si="9">MIN(E$4:E$29)</f>
        <v>4.5999999999999996</v>
      </c>
      <c r="F33" s="13">
        <f t="shared" si="9"/>
        <v>1.3</v>
      </c>
      <c r="G33" s="13">
        <f t="shared" si="9"/>
        <v>1.6</v>
      </c>
      <c r="H33" s="13">
        <f t="shared" si="9"/>
        <v>4.3</v>
      </c>
      <c r="I33" s="13">
        <f t="shared" si="9"/>
        <v>3.9</v>
      </c>
      <c r="J33" s="13">
        <f t="shared" si="9"/>
        <v>4.3</v>
      </c>
      <c r="K33" s="13">
        <f t="shared" si="9"/>
        <v>4.3</v>
      </c>
      <c r="L33" s="13">
        <f t="shared" ref="L33:AD33" si="10">MIN(L$4:L$29)</f>
        <v>5</v>
      </c>
      <c r="M33" s="13">
        <f t="shared" si="10"/>
        <v>4</v>
      </c>
      <c r="N33" s="13">
        <f t="shared" si="10"/>
        <v>0.3</v>
      </c>
      <c r="O33" s="13">
        <f t="shared" si="10"/>
        <v>1.3</v>
      </c>
      <c r="P33" s="13">
        <f t="shared" si="10"/>
        <v>2.2999999999999998</v>
      </c>
      <c r="Q33" s="13">
        <f t="shared" si="10"/>
        <v>5.72</v>
      </c>
      <c r="R33" s="13">
        <f t="shared" si="10"/>
        <v>2.71</v>
      </c>
      <c r="S33" s="13">
        <f t="shared" si="10"/>
        <v>7.9</v>
      </c>
      <c r="T33" s="13">
        <f t="shared" si="10"/>
        <v>6.4</v>
      </c>
      <c r="U33" s="13">
        <f t="shared" si="10"/>
        <v>5.9</v>
      </c>
      <c r="V33" s="13">
        <f t="shared" si="10"/>
        <v>6.09</v>
      </c>
      <c r="W33" s="13">
        <f t="shared" si="10"/>
        <v>2.7</v>
      </c>
      <c r="X33" s="13">
        <f t="shared" si="10"/>
        <v>4.9000000000000004</v>
      </c>
      <c r="Y33" s="13">
        <f t="shared" si="10"/>
        <v>5.4</v>
      </c>
      <c r="Z33" s="13">
        <f t="shared" si="10"/>
        <v>6.6</v>
      </c>
      <c r="AA33" s="13">
        <f t="shared" si="10"/>
        <v>5.8</v>
      </c>
      <c r="AB33" s="13">
        <f t="shared" si="10"/>
        <v>6.6</v>
      </c>
      <c r="AC33" s="13">
        <f t="shared" si="10"/>
        <v>5.64</v>
      </c>
      <c r="AD33" s="13">
        <f t="shared" si="10"/>
        <v>5.6035714285714286</v>
      </c>
      <c r="AF33" s="25">
        <f t="shared" si="4"/>
        <v>0.96</v>
      </c>
    </row>
    <row r="34" spans="1:32" ht="15" customHeight="1" x14ac:dyDescent="0.2">
      <c r="A34" s="2" t="s">
        <v>81</v>
      </c>
      <c r="B34" s="11">
        <f>AVERAGE(B4:B29)</f>
        <v>12.053846153846154</v>
      </c>
      <c r="C34" s="11">
        <f>AVERAGE(C4:C29)</f>
        <v>9.2111111111111104</v>
      </c>
      <c r="D34" s="11">
        <f>AVERAGE(D4:D29)</f>
        <v>10.705555555555556</v>
      </c>
      <c r="E34" s="11">
        <f t="shared" ref="E34:K34" si="11">AVERAGE(E4:E29)</f>
        <v>12.689999999999998</v>
      </c>
      <c r="F34" s="11">
        <f t="shared" si="11"/>
        <v>11.764999999999999</v>
      </c>
      <c r="G34" s="11">
        <f t="shared" si="11"/>
        <v>10.15238095238095</v>
      </c>
      <c r="H34" s="11">
        <f t="shared" si="11"/>
        <v>11.004545454545456</v>
      </c>
      <c r="I34" s="11">
        <f t="shared" si="11"/>
        <v>11.291304347826086</v>
      </c>
      <c r="J34" s="11">
        <f t="shared" si="11"/>
        <v>10.99090909090909</v>
      </c>
      <c r="K34" s="11">
        <f t="shared" si="11"/>
        <v>12.575000000000001</v>
      </c>
      <c r="L34" s="11">
        <f t="shared" ref="L34:P34" si="12">AVERAGE(L4:L29)</f>
        <v>11.788</v>
      </c>
      <c r="M34" s="11">
        <f t="shared" si="12"/>
        <v>12.452</v>
      </c>
      <c r="N34" s="11">
        <f t="shared" si="12"/>
        <v>11.236000000000001</v>
      </c>
      <c r="O34" s="10">
        <f t="shared" si="12"/>
        <v>11.970871462920364</v>
      </c>
      <c r="P34" s="10">
        <f t="shared" si="12"/>
        <v>11.206324179839655</v>
      </c>
      <c r="Q34" s="10">
        <f t="shared" ref="Q34:V34" si="13">AVERAGE(Q4:Q29)</f>
        <v>13.72394225197575</v>
      </c>
      <c r="R34" s="10">
        <f t="shared" si="13"/>
        <v>13.615852812248614</v>
      </c>
      <c r="S34" s="10">
        <f t="shared" si="13"/>
        <v>13.560862758464177</v>
      </c>
      <c r="T34" s="10">
        <f t="shared" si="13"/>
        <v>13.048000000000002</v>
      </c>
      <c r="U34" s="10">
        <f t="shared" si="13"/>
        <v>12.400094692777049</v>
      </c>
      <c r="V34" s="10">
        <f t="shared" si="13"/>
        <v>11.208894692777053</v>
      </c>
      <c r="W34" s="10">
        <f t="shared" ref="W34" si="14">AVERAGE(W4:W29)</f>
        <v>9.5340000000000007</v>
      </c>
      <c r="X34" s="10">
        <f t="shared" ref="X34:Y34" si="15">AVERAGE(X4:X29)</f>
        <v>10.105866728048911</v>
      </c>
      <c r="Y34" s="10">
        <f t="shared" si="15"/>
        <v>11.76166436804465</v>
      </c>
      <c r="Z34" s="10">
        <f t="shared" ref="Z34:AA34" si="16">AVERAGE(Z4:Z29)</f>
        <v>12.906153846153845</v>
      </c>
      <c r="AA34" s="10">
        <f t="shared" si="16"/>
        <v>11.448461538461537</v>
      </c>
      <c r="AB34" s="10">
        <f t="shared" ref="AB34:AC34" si="17">AVERAGE(AB4:AB29)</f>
        <v>12.115943537902854</v>
      </c>
      <c r="AC34" s="10">
        <f t="shared" si="17"/>
        <v>12.548557242361271</v>
      </c>
      <c r="AD34" s="10">
        <f t="shared" ref="AD34" si="18">AVERAGE(AD4:AD29)</f>
        <v>11.739651987901725</v>
      </c>
      <c r="AF34" s="25">
        <f t="shared" si="4"/>
        <v>0.35759660379257419</v>
      </c>
    </row>
    <row r="35" spans="1:32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2" ht="15" customHeight="1" x14ac:dyDescent="0.2">
      <c r="A36" s="37" t="s">
        <v>0</v>
      </c>
      <c r="B36" s="47">
        <f>IF($A$36="","",VLOOKUP($A$36,$A$4:B29,(B2-1989)))</f>
        <v>12.7</v>
      </c>
      <c r="C36" s="43">
        <f>IF($A$36="","",VLOOKUP($A$36,$A$4:C29,(B2-1988)))</f>
        <v>12.8</v>
      </c>
      <c r="D36" s="43">
        <f>IF($A$36="","",VLOOKUP($A$36,$A$4:D29,(C2-1988)))</f>
        <v>13.1</v>
      </c>
      <c r="E36" s="43">
        <f>IF($A$36="","",VLOOKUP($A$36,$A$4:E29,(D2-1988)))</f>
        <v>16.3</v>
      </c>
      <c r="F36" s="43">
        <f>IF($A$36="","",VLOOKUP($A$36,$A$4:F29,(E2-1988)))</f>
        <v>16.7</v>
      </c>
      <c r="G36" s="43">
        <f>IF($A$36="","",VLOOKUP($A$36,$A$4:G29,(F2-1988)))</f>
        <v>18.3</v>
      </c>
      <c r="H36" s="43">
        <f>IF($A$36="","",VLOOKUP($A$36,$A$4:H29,(G2-1988)))</f>
        <v>17.5</v>
      </c>
      <c r="I36" s="43">
        <f>IF($A$36="","",VLOOKUP($A$36,$A$4:I29,(H2-1988)))</f>
        <v>18.3</v>
      </c>
      <c r="J36" s="43">
        <f>IF($A$36="","",VLOOKUP($A$36,$A$4:J29,(I2-1988)))</f>
        <v>16.2</v>
      </c>
      <c r="K36" s="43">
        <f>IF($A$36="","",VLOOKUP($A$36,$A$4:K29,(J2-1988)))</f>
        <v>17.3</v>
      </c>
      <c r="L36" s="43">
        <f>IF($A$36="","",VLOOKUP($A$36,$A$4:L29,(K2-1988)))</f>
        <v>16.7</v>
      </c>
      <c r="M36" s="43">
        <f>IF($A$36="","",VLOOKUP($A$36,$A$4:M29,(L2-1988)))</f>
        <v>13.8</v>
      </c>
      <c r="N36" s="43">
        <f>IF($A$36="","",VLOOKUP($A$36,$A$4:N29,(M2-1988)))</f>
        <v>17.100000000000001</v>
      </c>
      <c r="O36" s="43">
        <f>IF($A$36="","",VLOOKUP($A$36,$A$4:O29,(N2-1988)))</f>
        <v>16.8</v>
      </c>
      <c r="P36" s="43">
        <f>IF($A$36="","",VLOOKUP($A$36,$A$4:P29,(O2-1988)))</f>
        <v>15.3</v>
      </c>
      <c r="Q36" s="43">
        <f>IF($A$36="","",VLOOKUP($A$36,$A$4:Q29,(P2-1988)))</f>
        <v>16.3</v>
      </c>
      <c r="R36" s="43">
        <f>IF($A$36="","",VLOOKUP($A$36,$A$4:R29,(Q2-1988)))</f>
        <v>12.9</v>
      </c>
      <c r="S36" s="43">
        <f>IF($A$36="","",VLOOKUP($A$36,$A$4:S29,(R2-1988)))</f>
        <v>16.7</v>
      </c>
      <c r="T36" s="43">
        <f>IF($A$36="","",VLOOKUP($A$36,$A$4:T29,(S2-1988)))</f>
        <v>12.5</v>
      </c>
      <c r="U36" s="43">
        <f>IF($A$36="","",VLOOKUP($A$36,$A$4:U29,(T2-1988)))</f>
        <v>9.6</v>
      </c>
      <c r="V36" s="43">
        <f>IF($A$36="","",VLOOKUP($A$36,$A$4:V29,(U2-1988)))</f>
        <v>12.5</v>
      </c>
      <c r="W36" s="43">
        <f>IF($A$36="","",VLOOKUP($A$36,$A$4:W29,(V2-1988)))</f>
        <v>9.8000000000000007</v>
      </c>
      <c r="X36" s="43">
        <f>IF($A$36="","",VLOOKUP($A$36,$A$4:X29,(W2-1988)))</f>
        <v>9.4</v>
      </c>
      <c r="Y36" s="43">
        <f>IF($A$36="","",VLOOKUP($A$36,$A$4:Y29,(X2-1988)))</f>
        <v>10.1</v>
      </c>
      <c r="Z36" s="43">
        <f>IF($A$36="","",VLOOKUP($A$36,$A$4:Z29,(Y2-1988)))</f>
        <v>10.4</v>
      </c>
      <c r="AA36" s="43">
        <f>IF($A$36="","",VLOOKUP($A$36,$A$4:AA29,(Z2-1988)))</f>
        <v>8.5</v>
      </c>
      <c r="AB36" s="43">
        <f>IF($A$36="","",VLOOKUP($A$36,$A$4:AB29,(AA2-1988)))</f>
        <v>10.8</v>
      </c>
      <c r="AC36" s="43">
        <f>IF($A$36="","",VLOOKUP($A$36,$A$4:AC29,(AB2-1988)))</f>
        <v>14.8</v>
      </c>
      <c r="AD36" s="43">
        <f>IF($A$36="","",VLOOKUP($A$36,$A$4:AD29,(V2-1988)))</f>
        <v>9.8000000000000007</v>
      </c>
      <c r="AF36" s="25">
        <f t="shared" ref="AF36" si="19">Y36-AB36</f>
        <v>-0.70000000000000107</v>
      </c>
    </row>
    <row r="37" spans="1:32" ht="15" customHeight="1" x14ac:dyDescent="0.2"/>
    <row r="38" spans="1:32" ht="15" customHeight="1" x14ac:dyDescent="0.2">
      <c r="A38" s="2" t="s">
        <v>29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2" ht="15" customHeight="1" x14ac:dyDescent="0.2"/>
    <row r="40" spans="1:32" ht="15" customHeight="1" x14ac:dyDescent="0.2">
      <c r="A40" s="15" t="s">
        <v>41</v>
      </c>
    </row>
    <row r="41" spans="1:32" ht="22.5" x14ac:dyDescent="0.2">
      <c r="A41" s="35" t="s">
        <v>42</v>
      </c>
      <c r="B41" s="49">
        <f>COUNTIF(B4:B29,"&gt;=20")</f>
        <v>2</v>
      </c>
      <c r="C41" s="49">
        <f t="shared" ref="C41:AD41" si="20">COUNTIF(C4:C29,"&gt;=20")</f>
        <v>1</v>
      </c>
      <c r="D41" s="49">
        <f t="shared" si="20"/>
        <v>1</v>
      </c>
      <c r="E41" s="49">
        <f t="shared" si="20"/>
        <v>1</v>
      </c>
      <c r="F41" s="49">
        <f t="shared" si="20"/>
        <v>1</v>
      </c>
      <c r="G41" s="49">
        <f t="shared" si="20"/>
        <v>0</v>
      </c>
      <c r="H41" s="49">
        <f t="shared" si="20"/>
        <v>1</v>
      </c>
      <c r="I41" s="49">
        <f t="shared" si="20"/>
        <v>0</v>
      </c>
      <c r="J41" s="49">
        <f t="shared" si="20"/>
        <v>0</v>
      </c>
      <c r="K41" s="49">
        <f t="shared" si="20"/>
        <v>1</v>
      </c>
      <c r="L41" s="49">
        <f t="shared" si="20"/>
        <v>2</v>
      </c>
      <c r="M41" s="49">
        <f t="shared" si="20"/>
        <v>2</v>
      </c>
      <c r="N41" s="49">
        <f t="shared" si="20"/>
        <v>0</v>
      </c>
      <c r="O41" s="49">
        <f t="shared" si="20"/>
        <v>1</v>
      </c>
      <c r="P41" s="49">
        <f t="shared" si="20"/>
        <v>0</v>
      </c>
      <c r="Q41" s="49">
        <f t="shared" si="20"/>
        <v>2</v>
      </c>
      <c r="R41" s="49">
        <f t="shared" si="20"/>
        <v>3</v>
      </c>
      <c r="S41" s="49">
        <f t="shared" si="20"/>
        <v>2</v>
      </c>
      <c r="T41" s="49">
        <f t="shared" si="20"/>
        <v>2</v>
      </c>
      <c r="U41" s="49">
        <f t="shared" si="20"/>
        <v>1</v>
      </c>
      <c r="V41" s="49">
        <f t="shared" si="20"/>
        <v>1</v>
      </c>
      <c r="W41" s="49">
        <f t="shared" si="20"/>
        <v>0</v>
      </c>
      <c r="X41" s="49">
        <f t="shared" si="20"/>
        <v>1</v>
      </c>
      <c r="Y41" s="49">
        <f t="shared" si="20"/>
        <v>1</v>
      </c>
      <c r="Z41" s="49">
        <f t="shared" si="20"/>
        <v>2</v>
      </c>
      <c r="AA41" s="49">
        <f t="shared" ref="AA41:AB41" si="21">COUNTIF(AA4:AA29,"&gt;=20")</f>
        <v>0</v>
      </c>
      <c r="AB41" s="49">
        <f t="shared" si="21"/>
        <v>1</v>
      </c>
      <c r="AC41" s="49">
        <f t="shared" ref="AC41" si="22">COUNTIF(AC4:AC29,"&gt;=20")</f>
        <v>2</v>
      </c>
      <c r="AD41" s="49">
        <f t="shared" si="20"/>
        <v>0</v>
      </c>
      <c r="AF41" s="2">
        <f>COUNTIF(AF4:AF29,"&lt;0")</f>
        <v>11</v>
      </c>
    </row>
    <row r="42" spans="1:32" ht="22.5" x14ac:dyDescent="0.2">
      <c r="A42" s="35" t="s">
        <v>43</v>
      </c>
      <c r="B42" s="49">
        <f>COUNTIFS(B4:B29,"&lt;20",B4:B29,"&gt;=10")</f>
        <v>6</v>
      </c>
      <c r="C42" s="49">
        <f t="shared" ref="C42:AD42" si="23">COUNTIFS(C4:C29,"&lt;20",C4:C29,"&gt;=10")</f>
        <v>8</v>
      </c>
      <c r="D42" s="49">
        <f t="shared" si="23"/>
        <v>9</v>
      </c>
      <c r="E42" s="49">
        <f t="shared" si="23"/>
        <v>14</v>
      </c>
      <c r="F42" s="49">
        <f t="shared" si="23"/>
        <v>13</v>
      </c>
      <c r="G42" s="49">
        <f t="shared" si="23"/>
        <v>10</v>
      </c>
      <c r="H42" s="49">
        <f t="shared" si="23"/>
        <v>11</v>
      </c>
      <c r="I42" s="49">
        <f t="shared" si="23"/>
        <v>12</v>
      </c>
      <c r="J42" s="49">
        <f t="shared" si="23"/>
        <v>13</v>
      </c>
      <c r="K42" s="49">
        <f t="shared" si="23"/>
        <v>16</v>
      </c>
      <c r="L42" s="49">
        <f t="shared" si="23"/>
        <v>14</v>
      </c>
      <c r="M42" s="49">
        <f t="shared" si="23"/>
        <v>15</v>
      </c>
      <c r="N42" s="49">
        <f t="shared" si="23"/>
        <v>15</v>
      </c>
      <c r="O42" s="49">
        <f t="shared" si="23"/>
        <v>16</v>
      </c>
      <c r="P42" s="49">
        <f t="shared" si="23"/>
        <v>14</v>
      </c>
      <c r="Q42" s="49">
        <f t="shared" si="23"/>
        <v>20</v>
      </c>
      <c r="R42" s="49">
        <f t="shared" si="23"/>
        <v>18</v>
      </c>
      <c r="S42" s="49">
        <f t="shared" si="23"/>
        <v>17</v>
      </c>
      <c r="T42" s="49">
        <f t="shared" si="23"/>
        <v>19</v>
      </c>
      <c r="U42" s="49">
        <f t="shared" si="23"/>
        <v>15</v>
      </c>
      <c r="V42" s="49">
        <f t="shared" si="23"/>
        <v>13</v>
      </c>
      <c r="W42" s="49">
        <f t="shared" si="23"/>
        <v>9</v>
      </c>
      <c r="X42" s="49">
        <f t="shared" si="23"/>
        <v>10</v>
      </c>
      <c r="Y42" s="49">
        <f t="shared" si="23"/>
        <v>14</v>
      </c>
      <c r="Z42" s="49">
        <f t="shared" si="23"/>
        <v>20</v>
      </c>
      <c r="AA42" s="49">
        <f t="shared" ref="AA42:AB42" si="24">COUNTIFS(AA4:AA29,"&lt;20",AA4:AA29,"&gt;=10")</f>
        <v>15</v>
      </c>
      <c r="AB42" s="49">
        <f t="shared" si="24"/>
        <v>16</v>
      </c>
      <c r="AC42" s="49">
        <f t="shared" ref="AC42" si="25">COUNTIFS(AC4:AC29,"&lt;20",AC4:AC29,"&gt;=10")</f>
        <v>16</v>
      </c>
      <c r="AD42" s="49">
        <f t="shared" si="23"/>
        <v>19</v>
      </c>
    </row>
    <row r="43" spans="1:32" ht="22.5" x14ac:dyDescent="0.2">
      <c r="A43" s="35" t="s">
        <v>44</v>
      </c>
      <c r="B43" s="49">
        <f>COUNTIFS(B4:B29,"&lt;10")</f>
        <v>5</v>
      </c>
      <c r="C43" s="49">
        <f t="shared" ref="C43:AD43" si="26">COUNTIFS(C4:C29,"&lt;10")</f>
        <v>9</v>
      </c>
      <c r="D43" s="49">
        <f t="shared" si="26"/>
        <v>8</v>
      </c>
      <c r="E43" s="49">
        <f t="shared" si="26"/>
        <v>5</v>
      </c>
      <c r="F43" s="49">
        <f t="shared" si="26"/>
        <v>6</v>
      </c>
      <c r="G43" s="49">
        <f t="shared" si="26"/>
        <v>11</v>
      </c>
      <c r="H43" s="49">
        <f t="shared" si="26"/>
        <v>10</v>
      </c>
      <c r="I43" s="49">
        <f t="shared" si="26"/>
        <v>11</v>
      </c>
      <c r="J43" s="49">
        <f t="shared" si="26"/>
        <v>9</v>
      </c>
      <c r="K43" s="49">
        <f t="shared" si="26"/>
        <v>7</v>
      </c>
      <c r="L43" s="49">
        <f t="shared" si="26"/>
        <v>9</v>
      </c>
      <c r="M43" s="49">
        <f t="shared" si="26"/>
        <v>8</v>
      </c>
      <c r="N43" s="49">
        <f t="shared" si="26"/>
        <v>10</v>
      </c>
      <c r="O43" s="49">
        <f t="shared" si="26"/>
        <v>8</v>
      </c>
      <c r="P43" s="49">
        <f t="shared" si="26"/>
        <v>11</v>
      </c>
      <c r="Q43" s="49">
        <f t="shared" si="26"/>
        <v>3</v>
      </c>
      <c r="R43" s="49">
        <f t="shared" si="26"/>
        <v>4</v>
      </c>
      <c r="S43" s="49">
        <f t="shared" si="26"/>
        <v>6</v>
      </c>
      <c r="T43" s="49">
        <f t="shared" si="26"/>
        <v>4</v>
      </c>
      <c r="U43" s="49">
        <f t="shared" si="26"/>
        <v>9</v>
      </c>
      <c r="V43" s="49">
        <f t="shared" si="26"/>
        <v>11</v>
      </c>
      <c r="W43" s="49">
        <f t="shared" si="26"/>
        <v>16</v>
      </c>
      <c r="X43" s="49">
        <f t="shared" si="26"/>
        <v>14</v>
      </c>
      <c r="Y43" s="49">
        <f t="shared" si="26"/>
        <v>11</v>
      </c>
      <c r="Z43" s="49">
        <f t="shared" si="26"/>
        <v>4</v>
      </c>
      <c r="AA43" s="49">
        <f t="shared" ref="AA43:AB43" si="27">COUNTIFS(AA4:AA29,"&lt;10")</f>
        <v>11</v>
      </c>
      <c r="AB43" s="49">
        <f t="shared" si="27"/>
        <v>9</v>
      </c>
      <c r="AC43" s="49">
        <f t="shared" ref="AC43" si="28">COUNTIFS(AC4:AC29,"&lt;10")</f>
        <v>7</v>
      </c>
      <c r="AD43" s="49">
        <f t="shared" si="26"/>
        <v>7</v>
      </c>
    </row>
    <row r="44" spans="1:32" x14ac:dyDescent="0.2">
      <c r="A44" s="2" t="s">
        <v>39</v>
      </c>
      <c r="B44" s="34">
        <f>COUNTIF(B4:B29,"&lt;=0")+COUNTIF(B4:B29,"&gt;0")</f>
        <v>13</v>
      </c>
      <c r="C44" s="34">
        <f t="shared" ref="C44:P44" si="29">COUNTIF(C4:C29,"&lt;=0")+COUNTIF(C4:C29,"&gt;0")</f>
        <v>18</v>
      </c>
      <c r="D44" s="34">
        <f t="shared" si="29"/>
        <v>18</v>
      </c>
      <c r="E44" s="34">
        <f t="shared" si="29"/>
        <v>20</v>
      </c>
      <c r="F44" s="34">
        <f t="shared" si="29"/>
        <v>20</v>
      </c>
      <c r="G44" s="34">
        <f t="shared" si="29"/>
        <v>21</v>
      </c>
      <c r="H44" s="34">
        <f t="shared" si="29"/>
        <v>22</v>
      </c>
      <c r="I44" s="34">
        <f t="shared" si="29"/>
        <v>23</v>
      </c>
      <c r="J44" s="34">
        <f t="shared" si="29"/>
        <v>22</v>
      </c>
      <c r="K44" s="34">
        <f t="shared" si="29"/>
        <v>24</v>
      </c>
      <c r="L44" s="34">
        <f t="shared" si="29"/>
        <v>25</v>
      </c>
      <c r="M44" s="34">
        <f t="shared" si="29"/>
        <v>25</v>
      </c>
      <c r="N44" s="34">
        <f t="shared" si="29"/>
        <v>25</v>
      </c>
      <c r="O44" s="34">
        <f t="shared" si="29"/>
        <v>25</v>
      </c>
      <c r="P44" s="34">
        <f t="shared" si="29"/>
        <v>25</v>
      </c>
      <c r="Q44" s="34">
        <f t="shared" ref="Q44:V44" si="30">COUNTIF(Q4:Q29,"&lt;=0")+COUNTIF(Q4:Q29,"&gt;0")</f>
        <v>25</v>
      </c>
      <c r="R44" s="34">
        <f t="shared" si="30"/>
        <v>25</v>
      </c>
      <c r="S44" s="34">
        <f t="shared" si="30"/>
        <v>25</v>
      </c>
      <c r="T44" s="34">
        <f t="shared" si="30"/>
        <v>25</v>
      </c>
      <c r="U44" s="34">
        <f t="shared" si="30"/>
        <v>25</v>
      </c>
      <c r="V44" s="34">
        <f t="shared" si="30"/>
        <v>25</v>
      </c>
      <c r="W44" s="34">
        <f t="shared" ref="W44" si="31">COUNTIF(W4:W29,"&lt;=0")+COUNTIF(W4:W29,"&gt;0")</f>
        <v>25</v>
      </c>
      <c r="X44" s="34">
        <f t="shared" ref="X44:Y44" si="32">COUNTIF(X4:X29,"&lt;=0")+COUNTIF(X4:X29,"&gt;0")</f>
        <v>25</v>
      </c>
      <c r="Y44" s="34">
        <f t="shared" si="32"/>
        <v>26</v>
      </c>
      <c r="Z44" s="34">
        <f t="shared" ref="Z44:AA44" si="33">COUNTIF(Z4:Z29,"&lt;=0")+COUNTIF(Z4:Z29,"&gt;0")</f>
        <v>26</v>
      </c>
      <c r="AA44" s="34">
        <f t="shared" si="33"/>
        <v>26</v>
      </c>
      <c r="AB44" s="34">
        <f t="shared" ref="AB44:AC44" si="34">COUNTIF(AB4:AB29,"&lt;=0")+COUNTIF(AB4:AB29,"&gt;0")</f>
        <v>26</v>
      </c>
      <c r="AC44" s="34">
        <f t="shared" si="34"/>
        <v>25</v>
      </c>
      <c r="AD44" s="34">
        <f t="shared" ref="AD44" si="35">COUNTIF(AD4:AD29,"&lt;=0")+COUNTIF(AD4:AD29,"&gt;0")</f>
        <v>26</v>
      </c>
    </row>
    <row r="45" spans="1:32" ht="15" customHeight="1" x14ac:dyDescent="0.2"/>
  </sheetData>
  <autoFilter ref="A3:AD29"/>
  <phoneticPr fontId="4" type="noConversion"/>
  <conditionalFormatting sqref="B44:W44 AD44">
    <cfRule type="cellIs" dxfId="28" priority="5" stopIfTrue="1" operator="notEqual">
      <formula>SUM(B41:B43)</formula>
    </cfRule>
  </conditionalFormatting>
  <conditionalFormatting sqref="C36:W36 AD36">
    <cfRule type="expression" dxfId="27" priority="3" stopIfTrue="1">
      <formula>OR(C36&lt;&gt;0,C36=0)</formula>
    </cfRule>
  </conditionalFormatting>
  <conditionalFormatting sqref="X36:AC36">
    <cfRule type="expression" dxfId="26" priority="1" stopIfTrue="1">
      <formula>OR(X36&lt;&gt;0,X36=0)</formula>
    </cfRule>
  </conditionalFormatting>
  <conditionalFormatting sqref="X44:AC44">
    <cfRule type="cellIs" dxfId="25" priority="2" stopIfTrue="1" operator="notEqual">
      <formula>SUM(X41:X43)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&amp;CSelbstfinanzierungsanteil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2" r:id="rId4" name="Group Box 46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76200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zoomScaleNormal="100" workbookViewId="0">
      <pane ySplit="2" topLeftCell="A21" activePane="bottomLeft" state="frozen"/>
      <selection pane="bottomLeft" activeCell="Y33" sqref="Y33"/>
    </sheetView>
  </sheetViews>
  <sheetFormatPr baseColWidth="10" defaultColWidth="11.42578125" defaultRowHeight="11.25" x14ac:dyDescent="0.2"/>
  <cols>
    <col min="1" max="1" width="15.7109375" style="2" customWidth="1"/>
    <col min="2" max="9" width="6.7109375" style="2" hidden="1" customWidth="1"/>
    <col min="10" max="30" width="6.7109375" style="2" customWidth="1"/>
    <col min="31" max="16384" width="11.42578125" style="2"/>
  </cols>
  <sheetData>
    <row r="1" spans="1:32" ht="15" customHeight="1" x14ac:dyDescent="0.2">
      <c r="A1" s="1" t="s">
        <v>32</v>
      </c>
      <c r="B1" s="28" t="s">
        <v>45</v>
      </c>
      <c r="C1" s="28" t="s">
        <v>45</v>
      </c>
      <c r="D1" s="28" t="s">
        <v>45</v>
      </c>
      <c r="E1" s="28" t="s">
        <v>45</v>
      </c>
      <c r="F1" s="28" t="s">
        <v>45</v>
      </c>
      <c r="G1" s="28" t="s">
        <v>45</v>
      </c>
      <c r="H1" s="28" t="s">
        <v>45</v>
      </c>
      <c r="I1" s="28" t="s">
        <v>45</v>
      </c>
      <c r="J1" s="28" t="s">
        <v>45</v>
      </c>
      <c r="K1" s="28" t="s">
        <v>45</v>
      </c>
      <c r="L1" s="28" t="s">
        <v>45</v>
      </c>
      <c r="M1" s="28" t="s">
        <v>45</v>
      </c>
      <c r="N1" s="28" t="s">
        <v>45</v>
      </c>
      <c r="O1" s="28" t="s">
        <v>45</v>
      </c>
      <c r="P1" s="28" t="s">
        <v>45</v>
      </c>
      <c r="Q1" s="28" t="s">
        <v>45</v>
      </c>
      <c r="R1" s="28" t="s">
        <v>45</v>
      </c>
      <c r="S1" s="28" t="s">
        <v>45</v>
      </c>
      <c r="T1" s="28" t="s">
        <v>45</v>
      </c>
      <c r="U1" s="28" t="s">
        <v>45</v>
      </c>
      <c r="V1" s="28" t="s">
        <v>45</v>
      </c>
      <c r="W1" s="28" t="s">
        <v>45</v>
      </c>
      <c r="X1" s="28" t="s">
        <v>45</v>
      </c>
      <c r="Y1" s="28" t="s">
        <v>45</v>
      </c>
      <c r="Z1" s="28" t="s">
        <v>45</v>
      </c>
      <c r="AA1" s="28" t="s">
        <v>45</v>
      </c>
      <c r="AB1" s="28" t="s">
        <v>45</v>
      </c>
      <c r="AC1" s="28" t="s">
        <v>45</v>
      </c>
      <c r="AD1" s="28" t="s">
        <v>45</v>
      </c>
    </row>
    <row r="2" spans="1:32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 t="s">
        <v>85</v>
      </c>
      <c r="AF2" s="45" t="str">
        <f>'Degré d''autofinancement'!AF2</f>
        <v>2018-15</v>
      </c>
    </row>
    <row r="3" spans="1:32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0"/>
    </row>
    <row r="4" spans="1:32" ht="15" customHeight="1" x14ac:dyDescent="0.2">
      <c r="A4" s="4" t="s">
        <v>0</v>
      </c>
      <c r="B4" s="5">
        <v>5.3</v>
      </c>
      <c r="C4" s="5">
        <v>6.3</v>
      </c>
      <c r="D4" s="5">
        <v>7.2</v>
      </c>
      <c r="E4" s="5">
        <v>6.8</v>
      </c>
      <c r="F4" s="5">
        <v>6.8</v>
      </c>
      <c r="G4" s="5">
        <v>6.1</v>
      </c>
      <c r="H4" s="5">
        <v>5.9</v>
      </c>
      <c r="I4" s="5">
        <v>5.4</v>
      </c>
      <c r="J4" s="5">
        <v>4.3</v>
      </c>
      <c r="K4" s="5">
        <v>3.8</v>
      </c>
      <c r="L4" s="5">
        <v>3.2</v>
      </c>
      <c r="M4" s="5">
        <v>3.5</v>
      </c>
      <c r="N4" s="5">
        <v>2.8</v>
      </c>
      <c r="O4" s="6">
        <v>1.9</v>
      </c>
      <c r="P4" s="6">
        <v>1.1000000000000001</v>
      </c>
      <c r="Q4" s="6">
        <v>0.9</v>
      </c>
      <c r="R4" s="6">
        <v>1.5</v>
      </c>
      <c r="S4" s="6">
        <v>1.4</v>
      </c>
      <c r="T4" s="6">
        <v>1.2</v>
      </c>
      <c r="U4" s="6">
        <v>0.9</v>
      </c>
      <c r="V4" s="6">
        <v>0.6</v>
      </c>
      <c r="W4" s="6">
        <v>0.5</v>
      </c>
      <c r="X4" s="6">
        <v>0.3</v>
      </c>
      <c r="Y4" s="6">
        <v>0.1</v>
      </c>
      <c r="Z4" s="6">
        <v>0.28000000000000003</v>
      </c>
      <c r="AA4" s="6">
        <v>0.2</v>
      </c>
      <c r="AB4" s="6">
        <v>0</v>
      </c>
      <c r="AC4" s="6">
        <v>0.2</v>
      </c>
      <c r="AD4" s="31">
        <f>AVERAGE(B4:AC4)</f>
        <v>2.8028571428571429</v>
      </c>
      <c r="AF4" s="25">
        <f>Z4-AC4</f>
        <v>8.0000000000000016E-2</v>
      </c>
    </row>
    <row r="5" spans="1:32" ht="15" customHeight="1" x14ac:dyDescent="0.2">
      <c r="A5" s="22" t="s">
        <v>2</v>
      </c>
      <c r="B5" s="23"/>
      <c r="C5" s="23"/>
      <c r="D5" s="23"/>
      <c r="E5" s="23">
        <v>4.0999999999999996</v>
      </c>
      <c r="F5" s="23">
        <v>4.4000000000000004</v>
      </c>
      <c r="G5" s="23">
        <v>4.5</v>
      </c>
      <c r="H5" s="23">
        <v>4</v>
      </c>
      <c r="I5" s="23">
        <v>3.7</v>
      </c>
      <c r="J5" s="23">
        <v>3.4</v>
      </c>
      <c r="K5" s="23">
        <v>3.6</v>
      </c>
      <c r="L5" s="23">
        <v>3.6</v>
      </c>
      <c r="M5" s="23">
        <v>3.2</v>
      </c>
      <c r="N5" s="23">
        <v>2.2999999999999998</v>
      </c>
      <c r="O5" s="23">
        <v>2.1</v>
      </c>
      <c r="P5" s="23">
        <v>2</v>
      </c>
      <c r="Q5" s="23">
        <v>0.9</v>
      </c>
      <c r="R5" s="23">
        <v>1.5</v>
      </c>
      <c r="S5" s="23">
        <v>1.5</v>
      </c>
      <c r="T5" s="23">
        <v>1.5</v>
      </c>
      <c r="U5" s="23">
        <v>1.2</v>
      </c>
      <c r="V5" s="23">
        <v>1</v>
      </c>
      <c r="W5" s="23">
        <v>0.8</v>
      </c>
      <c r="X5" s="23">
        <v>0.8</v>
      </c>
      <c r="Y5" s="23">
        <v>1</v>
      </c>
      <c r="Z5" s="23">
        <v>0.6</v>
      </c>
      <c r="AA5" s="23">
        <v>0.5</v>
      </c>
      <c r="AB5" s="23">
        <v>0.2</v>
      </c>
      <c r="AC5" s="23">
        <v>0.4</v>
      </c>
      <c r="AD5" s="31">
        <f t="shared" ref="AD5:AD29" si="3">AVERAGE(B5:AC5)</f>
        <v>2.1120000000000001</v>
      </c>
      <c r="AF5" s="25">
        <f t="shared" ref="AF5:AF34" si="4">Z5-AC5</f>
        <v>0.19999999999999996</v>
      </c>
    </row>
    <row r="6" spans="1:32" ht="15" customHeight="1" x14ac:dyDescent="0.2">
      <c r="A6" s="4" t="s">
        <v>4</v>
      </c>
      <c r="B6" s="5"/>
      <c r="C6" s="5">
        <v>5.6</v>
      </c>
      <c r="D6" s="5">
        <v>5.0999999999999996</v>
      </c>
      <c r="E6" s="5">
        <v>3.2</v>
      </c>
      <c r="F6" s="5">
        <v>2.6</v>
      </c>
      <c r="G6" s="5">
        <v>2.7</v>
      </c>
      <c r="H6" s="5">
        <v>2.2000000000000002</v>
      </c>
      <c r="I6" s="5">
        <v>1.8</v>
      </c>
      <c r="J6" s="5">
        <v>2.1</v>
      </c>
      <c r="K6" s="5">
        <v>1.8</v>
      </c>
      <c r="L6" s="5">
        <v>1.6</v>
      </c>
      <c r="M6" s="5">
        <v>1.2</v>
      </c>
      <c r="N6" s="5">
        <v>1.2</v>
      </c>
      <c r="O6" s="6">
        <v>1.2</v>
      </c>
      <c r="P6" s="6">
        <v>1.7</v>
      </c>
      <c r="Q6" s="5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>
        <v>-0.2</v>
      </c>
      <c r="AA6" s="6">
        <v>-0.15</v>
      </c>
      <c r="AB6" s="6">
        <v>-0.24</v>
      </c>
      <c r="AC6" s="6">
        <v>-0.17</v>
      </c>
      <c r="AD6" s="31">
        <f t="shared" si="3"/>
        <v>1.8466666666666667</v>
      </c>
      <c r="AF6" s="25">
        <f t="shared" si="4"/>
        <v>-0.03</v>
      </c>
    </row>
    <row r="7" spans="1:32" ht="15" customHeight="1" x14ac:dyDescent="0.2">
      <c r="A7" s="22" t="s">
        <v>5</v>
      </c>
      <c r="B7" s="23">
        <v>-1</v>
      </c>
      <c r="C7" s="23">
        <v>0.3</v>
      </c>
      <c r="D7" s="23">
        <v>0.6</v>
      </c>
      <c r="E7" s="23">
        <v>0.1</v>
      </c>
      <c r="F7" s="23">
        <v>0.7</v>
      </c>
      <c r="G7" s="23">
        <v>0.7</v>
      </c>
      <c r="H7" s="23">
        <v>0</v>
      </c>
      <c r="I7" s="23">
        <v>0.1</v>
      </c>
      <c r="J7" s="23">
        <v>-0.2</v>
      </c>
      <c r="K7" s="23">
        <v>-3.7</v>
      </c>
      <c r="L7" s="23">
        <v>-0.6</v>
      </c>
      <c r="M7" s="23">
        <v>0.1</v>
      </c>
      <c r="N7" s="23">
        <v>0.20536740889338576</v>
      </c>
      <c r="O7" s="23">
        <v>-0.59292964783781343</v>
      </c>
      <c r="P7" s="23">
        <v>-1.5116329791342091</v>
      </c>
      <c r="Q7" s="23">
        <v>-1.1759271389142416</v>
      </c>
      <c r="R7" s="23">
        <v>-0.51813830740657929</v>
      </c>
      <c r="S7" s="23">
        <v>-1.0474730340528069</v>
      </c>
      <c r="T7" s="23">
        <v>-1.6</v>
      </c>
      <c r="U7" s="23">
        <v>-2.0360158992967472</v>
      </c>
      <c r="V7" s="23">
        <v>-2.0360158992967472</v>
      </c>
      <c r="W7" s="23">
        <v>-6.2822713295982213</v>
      </c>
      <c r="X7" s="23">
        <v>-3.135727023741719</v>
      </c>
      <c r="Y7" s="23">
        <v>0.1</v>
      </c>
      <c r="Z7" s="23">
        <v>0.2</v>
      </c>
      <c r="AA7" s="23">
        <v>0</v>
      </c>
      <c r="AB7" s="23">
        <v>-0.1</v>
      </c>
      <c r="AC7" s="23">
        <v>-0.1</v>
      </c>
      <c r="AD7" s="31">
        <f t="shared" si="3"/>
        <v>-0.80467013751377503</v>
      </c>
      <c r="AF7" s="25">
        <f t="shared" si="4"/>
        <v>0.30000000000000004</v>
      </c>
    </row>
    <row r="8" spans="1:32" ht="15" customHeight="1" x14ac:dyDescent="0.2">
      <c r="A8" s="4" t="s">
        <v>6</v>
      </c>
      <c r="B8" s="5"/>
      <c r="C8" s="5">
        <v>1.1000000000000001</v>
      </c>
      <c r="D8" s="5">
        <v>1</v>
      </c>
      <c r="E8" s="5">
        <v>-0.6</v>
      </c>
      <c r="F8" s="5">
        <v>0.3</v>
      </c>
      <c r="G8" s="5">
        <v>0.7</v>
      </c>
      <c r="H8" s="5">
        <v>1.5</v>
      </c>
      <c r="I8" s="5">
        <v>1.7</v>
      </c>
      <c r="J8" s="5">
        <v>1.1000000000000001</v>
      </c>
      <c r="K8" s="5">
        <v>0.7</v>
      </c>
      <c r="L8" s="5">
        <v>0.1</v>
      </c>
      <c r="M8" s="5">
        <v>-0.9</v>
      </c>
      <c r="N8" s="5">
        <v>-0.9</v>
      </c>
      <c r="O8" s="6">
        <v>-0.9</v>
      </c>
      <c r="P8" s="6">
        <v>-1</v>
      </c>
      <c r="Q8" s="6">
        <v>-2</v>
      </c>
      <c r="R8" s="6">
        <v>-2.5</v>
      </c>
      <c r="S8" s="6">
        <v>-4.4000000000000004</v>
      </c>
      <c r="T8" s="6">
        <v>-3.9</v>
      </c>
      <c r="U8" s="6">
        <v>-2.6</v>
      </c>
      <c r="V8" s="6">
        <v>-1.8</v>
      </c>
      <c r="W8" s="6">
        <v>-2.2000000000000002</v>
      </c>
      <c r="X8" s="6">
        <v>-7.8</v>
      </c>
      <c r="Y8" s="6">
        <v>-7.3</v>
      </c>
      <c r="Z8" s="6">
        <v>-9</v>
      </c>
      <c r="AA8" s="6">
        <v>-9.6</v>
      </c>
      <c r="AB8" s="6">
        <v>-6.8</v>
      </c>
      <c r="AC8" s="6">
        <v>-6.9</v>
      </c>
      <c r="AD8" s="31">
        <f t="shared" si="3"/>
        <v>-2.3296296296296295</v>
      </c>
      <c r="AF8" s="25">
        <f t="shared" si="4"/>
        <v>-2.0999999999999996</v>
      </c>
    </row>
    <row r="9" spans="1:32" ht="15" customHeight="1" x14ac:dyDescent="0.2">
      <c r="A9" s="22" t="s">
        <v>7</v>
      </c>
      <c r="B9" s="23">
        <v>1.6</v>
      </c>
      <c r="C9" s="23">
        <v>2.2999999999999998</v>
      </c>
      <c r="D9" s="23">
        <v>1.8</v>
      </c>
      <c r="E9" s="23">
        <v>1</v>
      </c>
      <c r="F9" s="23">
        <v>1</v>
      </c>
      <c r="G9" s="23">
        <v>0.5</v>
      </c>
      <c r="H9" s="23">
        <v>1.5</v>
      </c>
      <c r="I9" s="23">
        <v>1.8</v>
      </c>
      <c r="J9" s="23">
        <v>1.2</v>
      </c>
      <c r="K9" s="23">
        <v>1.6</v>
      </c>
      <c r="L9" s="23">
        <v>1.6</v>
      </c>
      <c r="M9" s="23">
        <v>1.2</v>
      </c>
      <c r="N9" s="23">
        <v>0.7</v>
      </c>
      <c r="O9" s="23">
        <v>0.5</v>
      </c>
      <c r="P9" s="23">
        <v>0.3</v>
      </c>
      <c r="Q9" s="23">
        <v>-0.2</v>
      </c>
      <c r="R9" s="23">
        <v>-0.3</v>
      </c>
      <c r="S9" s="23">
        <v>-0.6</v>
      </c>
      <c r="T9" s="23">
        <v>-0.39</v>
      </c>
      <c r="U9" s="23">
        <v>0.3</v>
      </c>
      <c r="V9" s="23">
        <v>0</v>
      </c>
      <c r="W9" s="23">
        <v>-0.6</v>
      </c>
      <c r="X9" s="23">
        <v>-0.5</v>
      </c>
      <c r="Y9" s="23">
        <v>-0.8</v>
      </c>
      <c r="Z9" s="23">
        <v>-1.5</v>
      </c>
      <c r="AA9" s="23">
        <v>0.9</v>
      </c>
      <c r="AB9" s="23">
        <v>0.7</v>
      </c>
      <c r="AC9" s="23">
        <v>0.7</v>
      </c>
      <c r="AD9" s="31">
        <f t="shared" si="3"/>
        <v>0.5824999999999998</v>
      </c>
      <c r="AF9" s="25">
        <f t="shared" si="4"/>
        <v>-2.2000000000000002</v>
      </c>
    </row>
    <row r="10" spans="1:32" ht="15" customHeight="1" x14ac:dyDescent="0.2">
      <c r="A10" s="4" t="s">
        <v>8</v>
      </c>
      <c r="B10" s="5"/>
      <c r="C10" s="5"/>
      <c r="D10" s="5"/>
      <c r="E10" s="5"/>
      <c r="F10" s="5"/>
      <c r="G10" s="5">
        <v>1.6</v>
      </c>
      <c r="H10" s="5">
        <v>1.7</v>
      </c>
      <c r="I10" s="5">
        <v>1.3</v>
      </c>
      <c r="J10" s="5">
        <v>2.5</v>
      </c>
      <c r="K10" s="5">
        <v>4.5999999999999996</v>
      </c>
      <c r="L10" s="5">
        <v>4.3</v>
      </c>
      <c r="M10" s="5">
        <v>4</v>
      </c>
      <c r="N10" s="5">
        <v>3.3</v>
      </c>
      <c r="O10" s="6">
        <v>3</v>
      </c>
      <c r="P10" s="6">
        <v>2.9</v>
      </c>
      <c r="Q10" s="6">
        <v>2.7</v>
      </c>
      <c r="R10" s="6">
        <v>2.71</v>
      </c>
      <c r="S10" s="6">
        <v>2.5499999999999998</v>
      </c>
      <c r="T10" s="6">
        <v>2.2999999999999998</v>
      </c>
      <c r="U10" s="6">
        <v>2</v>
      </c>
      <c r="V10" s="6">
        <v>1.76</v>
      </c>
      <c r="W10" s="6">
        <v>1.67</v>
      </c>
      <c r="X10" s="6">
        <v>1.5</v>
      </c>
      <c r="Y10" s="6">
        <v>1.48</v>
      </c>
      <c r="Z10" s="6">
        <v>1.3</v>
      </c>
      <c r="AA10" s="6">
        <v>1.2</v>
      </c>
      <c r="AB10" s="6">
        <v>1.1000000000000001</v>
      </c>
      <c r="AC10" s="6">
        <v>0.89</v>
      </c>
      <c r="AD10" s="31">
        <f t="shared" si="3"/>
        <v>2.2765217391304344</v>
      </c>
      <c r="AF10" s="25">
        <f t="shared" si="4"/>
        <v>0.41000000000000003</v>
      </c>
    </row>
    <row r="11" spans="1:32" ht="15" customHeight="1" x14ac:dyDescent="0.2">
      <c r="A11" s="22" t="s">
        <v>9</v>
      </c>
      <c r="B11" s="23">
        <v>0.4</v>
      </c>
      <c r="C11" s="23">
        <v>0.6</v>
      </c>
      <c r="D11" s="23">
        <v>2</v>
      </c>
      <c r="E11" s="23">
        <v>2.4</v>
      </c>
      <c r="F11" s="23">
        <v>3.4</v>
      </c>
      <c r="G11" s="23">
        <v>2.7</v>
      </c>
      <c r="H11" s="23">
        <v>3.1</v>
      </c>
      <c r="I11" s="23">
        <v>3.5</v>
      </c>
      <c r="J11" s="23">
        <v>3.4</v>
      </c>
      <c r="K11" s="23">
        <v>3</v>
      </c>
      <c r="L11" s="23">
        <v>1.5</v>
      </c>
      <c r="M11" s="23">
        <v>1</v>
      </c>
      <c r="N11" s="23">
        <v>0.7</v>
      </c>
      <c r="O11" s="23">
        <v>0.5</v>
      </c>
      <c r="P11" s="23">
        <v>0.01</v>
      </c>
      <c r="Q11" s="23">
        <v>-0.3</v>
      </c>
      <c r="R11" s="23">
        <v>-0.7</v>
      </c>
      <c r="S11" s="23">
        <v>-0.9</v>
      </c>
      <c r="T11" s="23">
        <v>-1.2</v>
      </c>
      <c r="U11" s="23">
        <v>-1.6</v>
      </c>
      <c r="V11" s="23">
        <v>-1.6</v>
      </c>
      <c r="W11" s="23">
        <v>-1.8</v>
      </c>
      <c r="X11" s="23">
        <v>-2.2999999999999998</v>
      </c>
      <c r="Y11" s="23">
        <v>-2.1</v>
      </c>
      <c r="Z11" s="23">
        <v>-1.9</v>
      </c>
      <c r="AA11" s="23">
        <v>-2.7</v>
      </c>
      <c r="AB11" s="23">
        <v>-3.4</v>
      </c>
      <c r="AC11" s="23">
        <v>1.2</v>
      </c>
      <c r="AD11" s="31">
        <f t="shared" si="3"/>
        <v>0.31821428571428567</v>
      </c>
      <c r="AF11" s="25">
        <f t="shared" si="4"/>
        <v>-3.0999999999999996</v>
      </c>
    </row>
    <row r="12" spans="1:32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0.3</v>
      </c>
      <c r="I12" s="5">
        <v>0.2</v>
      </c>
      <c r="J12" s="5"/>
      <c r="K12" s="5">
        <v>0.8</v>
      </c>
      <c r="L12" s="5">
        <v>0.5</v>
      </c>
      <c r="M12" s="5">
        <v>-1.5</v>
      </c>
      <c r="N12" s="5">
        <v>-1.7</v>
      </c>
      <c r="O12" s="6">
        <v>-0.7</v>
      </c>
      <c r="P12" s="6">
        <v>-0.5</v>
      </c>
      <c r="Q12" s="6">
        <v>-0.3</v>
      </c>
      <c r="R12" s="6">
        <v>-1.1000000000000001</v>
      </c>
      <c r="S12" s="6">
        <v>-0.6</v>
      </c>
      <c r="T12" s="6">
        <v>-0.7</v>
      </c>
      <c r="U12" s="6">
        <v>-2.1</v>
      </c>
      <c r="V12" s="6">
        <v>1.3</v>
      </c>
      <c r="W12" s="6">
        <v>1.1000000000000001</v>
      </c>
      <c r="X12" s="6">
        <v>0.6</v>
      </c>
      <c r="Y12" s="6">
        <v>0.7</v>
      </c>
      <c r="Z12" s="6">
        <v>0.5</v>
      </c>
      <c r="AA12" s="6">
        <v>0.4</v>
      </c>
      <c r="AB12" s="6">
        <v>0.2</v>
      </c>
      <c r="AC12" s="6">
        <v>0.2</v>
      </c>
      <c r="AD12" s="31">
        <f t="shared" si="3"/>
        <v>-0.11428571428571428</v>
      </c>
      <c r="AF12" s="25">
        <f t="shared" si="4"/>
        <v>0.3</v>
      </c>
    </row>
    <row r="13" spans="1:32" ht="15" customHeight="1" x14ac:dyDescent="0.2">
      <c r="A13" s="22" t="s">
        <v>11</v>
      </c>
      <c r="B13" s="23"/>
      <c r="C13" s="23"/>
      <c r="D13" s="23"/>
      <c r="E13" s="23">
        <v>0.7</v>
      </c>
      <c r="F13" s="23">
        <v>0.8</v>
      </c>
      <c r="G13" s="23">
        <v>0.2</v>
      </c>
      <c r="H13" s="23">
        <v>0.4</v>
      </c>
      <c r="I13" s="23">
        <v>0.3</v>
      </c>
      <c r="J13" s="23">
        <v>-0.3</v>
      </c>
      <c r="K13" s="23">
        <v>-0.4</v>
      </c>
      <c r="L13" s="23">
        <v>-0.1</v>
      </c>
      <c r="M13" s="23">
        <v>-0.4</v>
      </c>
      <c r="N13" s="23">
        <v>-1.1000000000000001</v>
      </c>
      <c r="O13" s="23">
        <v>-2.2000000000000002</v>
      </c>
      <c r="P13" s="23">
        <v>-1.6</v>
      </c>
      <c r="Q13" s="23">
        <v>-2.4</v>
      </c>
      <c r="R13" s="23">
        <v>-2.4</v>
      </c>
      <c r="S13" s="23">
        <v>-2.54</v>
      </c>
      <c r="T13" s="23">
        <v>-2.93</v>
      </c>
      <c r="U13" s="23">
        <v>-2.9</v>
      </c>
      <c r="V13" s="23">
        <v>-3.5</v>
      </c>
      <c r="W13" s="23">
        <v>-3.4</v>
      </c>
      <c r="X13" s="23">
        <v>-3.4</v>
      </c>
      <c r="Y13" s="23">
        <v>-2.92</v>
      </c>
      <c r="Z13" s="23">
        <v>0.86</v>
      </c>
      <c r="AA13" s="23">
        <v>0.8</v>
      </c>
      <c r="AB13" s="23">
        <v>0.74</v>
      </c>
      <c r="AC13" s="23">
        <v>0.36</v>
      </c>
      <c r="AD13" s="31">
        <f t="shared" si="3"/>
        <v>-1.0931999999999999</v>
      </c>
      <c r="AF13" s="25">
        <f t="shared" si="4"/>
        <v>0.5</v>
      </c>
    </row>
    <row r="14" spans="1:32" ht="15" customHeight="1" x14ac:dyDescent="0.2">
      <c r="A14" s="4" t="s">
        <v>12</v>
      </c>
      <c r="B14" s="5">
        <v>8.4</v>
      </c>
      <c r="C14" s="5">
        <v>9</v>
      </c>
      <c r="D14" s="5">
        <v>9.6</v>
      </c>
      <c r="E14" s="5">
        <v>8.8000000000000007</v>
      </c>
      <c r="F14" s="5">
        <v>9</v>
      </c>
      <c r="G14" s="5">
        <v>8.8000000000000007</v>
      </c>
      <c r="H14" s="5">
        <v>9.1999999999999993</v>
      </c>
      <c r="I14" s="5">
        <v>8.3000000000000007</v>
      </c>
      <c r="J14" s="5">
        <v>7.5</v>
      </c>
      <c r="K14" s="5">
        <v>7</v>
      </c>
      <c r="L14" s="5">
        <v>7.3</v>
      </c>
      <c r="M14" s="5">
        <v>6.5</v>
      </c>
      <c r="N14" s="5">
        <v>6.1</v>
      </c>
      <c r="O14" s="6">
        <v>5.7</v>
      </c>
      <c r="P14" s="6">
        <v>6</v>
      </c>
      <c r="Q14" s="6">
        <v>6.3</v>
      </c>
      <c r="R14" s="6">
        <v>5</v>
      </c>
      <c r="S14" s="6">
        <v>4.4000000000000004</v>
      </c>
      <c r="T14" s="6">
        <v>4.87</v>
      </c>
      <c r="U14" s="6">
        <v>4.32</v>
      </c>
      <c r="V14" s="6">
        <v>4.0999999999999996</v>
      </c>
      <c r="W14" s="6">
        <v>3.8</v>
      </c>
      <c r="X14" s="6">
        <v>3.24</v>
      </c>
      <c r="Y14" s="6">
        <v>2.89</v>
      </c>
      <c r="Z14" s="6">
        <v>2.61</v>
      </c>
      <c r="AA14" s="6">
        <v>2.35</v>
      </c>
      <c r="AB14" s="6">
        <v>2.13</v>
      </c>
      <c r="AC14" s="6">
        <v>1.89</v>
      </c>
      <c r="AD14" s="31">
        <f t="shared" si="3"/>
        <v>5.8964285714285714</v>
      </c>
      <c r="AF14" s="25">
        <f t="shared" si="4"/>
        <v>0.72</v>
      </c>
    </row>
    <row r="15" spans="1:32" ht="15" customHeight="1" x14ac:dyDescent="0.2">
      <c r="A15" s="22" t="s">
        <v>13</v>
      </c>
      <c r="B15" s="23"/>
      <c r="C15" s="23">
        <v>3.3</v>
      </c>
      <c r="D15" s="23">
        <v>3.9</v>
      </c>
      <c r="E15" s="23">
        <v>3</v>
      </c>
      <c r="F15" s="23">
        <v>2.2999999999999998</v>
      </c>
      <c r="G15" s="23">
        <v>2.7</v>
      </c>
      <c r="H15" s="23">
        <v>1.9</v>
      </c>
      <c r="I15" s="23">
        <v>1.8</v>
      </c>
      <c r="J15" s="23">
        <v>1.5</v>
      </c>
      <c r="K15" s="23">
        <v>1.1000000000000001</v>
      </c>
      <c r="L15" s="23">
        <v>1.6</v>
      </c>
      <c r="M15" s="23">
        <v>2</v>
      </c>
      <c r="N15" s="23">
        <v>1.5</v>
      </c>
      <c r="O15" s="23">
        <v>1.2</v>
      </c>
      <c r="P15" s="23">
        <v>0.7</v>
      </c>
      <c r="Q15" s="23">
        <v>0.49</v>
      </c>
      <c r="R15" s="23">
        <v>-0.1</v>
      </c>
      <c r="S15" s="23">
        <v>-0.4</v>
      </c>
      <c r="T15" s="23">
        <v>-0.43</v>
      </c>
      <c r="U15" s="23">
        <v>-0.92</v>
      </c>
      <c r="V15" s="23">
        <v>-1.1200000000000001</v>
      </c>
      <c r="W15" s="23">
        <v>-1.22</v>
      </c>
      <c r="X15" s="23">
        <v>-1.6</v>
      </c>
      <c r="Y15" s="23">
        <v>-1.6</v>
      </c>
      <c r="Z15" s="23">
        <v>-1.5</v>
      </c>
      <c r="AA15" s="23">
        <v>-1.68</v>
      </c>
      <c r="AB15" s="23">
        <v>-1.72</v>
      </c>
      <c r="AC15" s="23" t="s">
        <v>1</v>
      </c>
      <c r="AD15" s="31">
        <f t="shared" si="3"/>
        <v>0.64230769230769214</v>
      </c>
      <c r="AF15" s="25" t="e">
        <f t="shared" si="4"/>
        <v>#VALUE!</v>
      </c>
    </row>
    <row r="16" spans="1:32" ht="15" customHeight="1" x14ac:dyDescent="0.2">
      <c r="A16" s="4" t="s">
        <v>14</v>
      </c>
      <c r="B16" s="5">
        <v>1.8</v>
      </c>
      <c r="C16" s="5">
        <v>3</v>
      </c>
      <c r="D16" s="5">
        <v>3.4</v>
      </c>
      <c r="E16" s="5">
        <v>3</v>
      </c>
      <c r="F16" s="5">
        <v>3.3</v>
      </c>
      <c r="G16" s="5">
        <v>3.3</v>
      </c>
      <c r="H16" s="5">
        <v>3.2</v>
      </c>
      <c r="I16" s="5">
        <v>3.1</v>
      </c>
      <c r="J16" s="5">
        <v>3</v>
      </c>
      <c r="K16" s="5">
        <v>2.7</v>
      </c>
      <c r="L16" s="5">
        <v>3.1</v>
      </c>
      <c r="M16" s="5">
        <v>2.8</v>
      </c>
      <c r="N16" s="5">
        <v>1.6</v>
      </c>
      <c r="O16" s="6">
        <v>2.2000000000000002</v>
      </c>
      <c r="P16" s="6">
        <v>2</v>
      </c>
      <c r="Q16" s="6">
        <v>1.5</v>
      </c>
      <c r="R16" s="6">
        <v>0.3</v>
      </c>
      <c r="S16" s="6" t="s">
        <v>1</v>
      </c>
      <c r="T16" s="6">
        <v>0.1</v>
      </c>
      <c r="U16" s="6">
        <v>-0.6</v>
      </c>
      <c r="V16" s="6">
        <v>-1</v>
      </c>
      <c r="W16" s="6">
        <v>-1.8</v>
      </c>
      <c r="X16" s="6">
        <v>-2</v>
      </c>
      <c r="Y16" s="6">
        <v>-2</v>
      </c>
      <c r="Z16" s="6">
        <v>-1.8</v>
      </c>
      <c r="AA16" s="6">
        <v>2.5</v>
      </c>
      <c r="AB16" s="6">
        <v>2.2000000000000002</v>
      </c>
      <c r="AC16" s="6">
        <v>1.9</v>
      </c>
      <c r="AD16" s="31">
        <f t="shared" si="3"/>
        <v>1.5111111111111113</v>
      </c>
      <c r="AF16" s="25">
        <f t="shared" si="4"/>
        <v>-3.7</v>
      </c>
    </row>
    <row r="17" spans="1:32" ht="15" customHeight="1" x14ac:dyDescent="0.2">
      <c r="A17" s="22" t="s">
        <v>15</v>
      </c>
      <c r="B17" s="23"/>
      <c r="C17" s="23"/>
      <c r="D17" s="23">
        <v>-0.6</v>
      </c>
      <c r="E17" s="23">
        <v>-0.3</v>
      </c>
      <c r="F17" s="23"/>
      <c r="G17" s="23"/>
      <c r="H17" s="23"/>
      <c r="I17" s="23"/>
      <c r="J17" s="23"/>
      <c r="K17" s="23"/>
      <c r="L17" s="23">
        <v>1.6</v>
      </c>
      <c r="M17" s="23">
        <v>0.5</v>
      </c>
      <c r="N17" s="23">
        <v>0.6</v>
      </c>
      <c r="O17" s="23">
        <v>0.9</v>
      </c>
      <c r="P17" s="23">
        <v>0.3</v>
      </c>
      <c r="Q17" s="23">
        <v>0.12</v>
      </c>
      <c r="R17" s="23">
        <v>0.25</v>
      </c>
      <c r="S17" s="23">
        <v>0.79</v>
      </c>
      <c r="T17" s="23">
        <v>0.24</v>
      </c>
      <c r="U17" s="23">
        <v>-0.1</v>
      </c>
      <c r="V17" s="23">
        <v>0</v>
      </c>
      <c r="W17" s="23">
        <v>1.1000000000000001</v>
      </c>
      <c r="X17" s="23">
        <v>0.9</v>
      </c>
      <c r="Y17" s="23">
        <v>0.9</v>
      </c>
      <c r="Z17" s="23">
        <v>0.5</v>
      </c>
      <c r="AA17" s="23">
        <v>0.6</v>
      </c>
      <c r="AB17" s="23">
        <v>0.4</v>
      </c>
      <c r="AC17" s="23">
        <v>0</v>
      </c>
      <c r="AD17" s="31">
        <f t="shared" si="3"/>
        <v>0.43500000000000005</v>
      </c>
      <c r="AF17" s="25">
        <f t="shared" si="4"/>
        <v>0.5</v>
      </c>
    </row>
    <row r="18" spans="1:32" ht="15" customHeight="1" x14ac:dyDescent="0.2">
      <c r="A18" s="4" t="s">
        <v>16</v>
      </c>
      <c r="B18" s="5">
        <v>4.7</v>
      </c>
      <c r="C18" s="5">
        <v>6</v>
      </c>
      <c r="D18" s="5">
        <v>5</v>
      </c>
      <c r="E18" s="5">
        <v>4.9000000000000004</v>
      </c>
      <c r="F18" s="5">
        <v>5.3</v>
      </c>
      <c r="G18" s="5">
        <v>4.9000000000000004</v>
      </c>
      <c r="H18" s="5">
        <v>4.7</v>
      </c>
      <c r="I18" s="5">
        <v>4.3</v>
      </c>
      <c r="J18" s="5">
        <v>4</v>
      </c>
      <c r="K18" s="5">
        <v>3.3</v>
      </c>
      <c r="L18" s="5">
        <v>3.2</v>
      </c>
      <c r="M18" s="5">
        <v>3</v>
      </c>
      <c r="N18" s="5">
        <v>2</v>
      </c>
      <c r="O18" s="6">
        <v>1.8</v>
      </c>
      <c r="P18" s="6">
        <v>1.1000000000000001</v>
      </c>
      <c r="Q18" s="6">
        <v>1.1000000000000001</v>
      </c>
      <c r="R18" s="6">
        <v>0.4</v>
      </c>
      <c r="S18" s="6">
        <v>0.2</v>
      </c>
      <c r="T18" s="6">
        <v>-0.4</v>
      </c>
      <c r="U18" s="6">
        <v>-0.23</v>
      </c>
      <c r="V18" s="6">
        <v>0.1</v>
      </c>
      <c r="W18" s="6">
        <v>1.58</v>
      </c>
      <c r="X18" s="6">
        <v>1.3</v>
      </c>
      <c r="Y18" s="6">
        <v>1.1000000000000001</v>
      </c>
      <c r="Z18" s="6">
        <v>0.7</v>
      </c>
      <c r="AA18" s="6">
        <v>0.8</v>
      </c>
      <c r="AB18" s="6">
        <v>0.4</v>
      </c>
      <c r="AC18" s="6">
        <v>0.2</v>
      </c>
      <c r="AD18" s="31">
        <f t="shared" si="3"/>
        <v>2.3375000000000008</v>
      </c>
      <c r="AF18" s="25">
        <f t="shared" si="4"/>
        <v>0.49999999999999994</v>
      </c>
    </row>
    <row r="19" spans="1:32" ht="15" customHeight="1" x14ac:dyDescent="0.2">
      <c r="A19" s="22" t="s">
        <v>17</v>
      </c>
      <c r="B19" s="23"/>
      <c r="C19" s="23"/>
      <c r="D19" s="23"/>
      <c r="E19" s="23"/>
      <c r="F19" s="23"/>
      <c r="G19" s="23"/>
      <c r="H19" s="23"/>
      <c r="I19" s="23">
        <v>2.8</v>
      </c>
      <c r="J19" s="23">
        <v>2.2000000000000002</v>
      </c>
      <c r="K19" s="23">
        <v>1.7</v>
      </c>
      <c r="L19" s="23">
        <v>2.2999999999999998</v>
      </c>
      <c r="M19" s="23">
        <v>-0.3</v>
      </c>
      <c r="N19" s="23">
        <v>-2</v>
      </c>
      <c r="O19" s="23">
        <v>-3.2</v>
      </c>
      <c r="P19" s="23">
        <v>-1.64</v>
      </c>
      <c r="Q19" s="23">
        <v>-1.9</v>
      </c>
      <c r="R19" s="23">
        <v>-1.6</v>
      </c>
      <c r="S19" s="23">
        <v>-1.65</v>
      </c>
      <c r="T19" s="23">
        <v>-3.26</v>
      </c>
      <c r="U19" s="23">
        <v>-1.98</v>
      </c>
      <c r="V19" s="23">
        <v>-3.98</v>
      </c>
      <c r="W19" s="23">
        <v>-3.55</v>
      </c>
      <c r="X19" s="23">
        <v>-2.96</v>
      </c>
      <c r="Y19" s="23">
        <v>-2.96</v>
      </c>
      <c r="Z19" s="23">
        <v>-2.5</v>
      </c>
      <c r="AA19" s="23">
        <v>-2.0299999999999998</v>
      </c>
      <c r="AB19" s="23">
        <v>-2.3713478927231999</v>
      </c>
      <c r="AC19" s="23">
        <v>-1.7510932752003583</v>
      </c>
      <c r="AD19" s="31">
        <f t="shared" si="3"/>
        <v>-1.4586876746630268</v>
      </c>
      <c r="AF19" s="25">
        <f t="shared" si="4"/>
        <v>-0.74890672479964171</v>
      </c>
    </row>
    <row r="20" spans="1:32" ht="15" customHeight="1" x14ac:dyDescent="0.2">
      <c r="A20" s="4" t="s">
        <v>18</v>
      </c>
      <c r="B20" s="5"/>
      <c r="C20" s="5"/>
      <c r="D20" s="5"/>
      <c r="E20" s="5"/>
      <c r="F20" s="5"/>
      <c r="G20" s="5">
        <v>4</v>
      </c>
      <c r="H20" s="5">
        <v>3.8</v>
      </c>
      <c r="I20" s="5">
        <v>3.3</v>
      </c>
      <c r="J20" s="5">
        <v>3.1</v>
      </c>
      <c r="K20" s="5">
        <v>2.2999999999999998</v>
      </c>
      <c r="L20" s="5">
        <v>2.2000000000000002</v>
      </c>
      <c r="M20" s="5">
        <v>1.3</v>
      </c>
      <c r="N20" s="5">
        <v>0.8</v>
      </c>
      <c r="O20" s="6">
        <v>0.64</v>
      </c>
      <c r="P20" s="6">
        <v>9.1999999999999998E-2</v>
      </c>
      <c r="Q20" s="6" t="s">
        <v>3</v>
      </c>
      <c r="R20" s="6" t="s">
        <v>3</v>
      </c>
      <c r="S20" s="6">
        <v>0</v>
      </c>
      <c r="T20" s="6">
        <v>0</v>
      </c>
      <c r="U20" s="6">
        <v>-0.15</v>
      </c>
      <c r="V20" s="6">
        <v>-0.34</v>
      </c>
      <c r="W20" s="6">
        <v>-0.27</v>
      </c>
      <c r="X20" s="6">
        <v>-0.73</v>
      </c>
      <c r="Y20" s="6">
        <v>-0.56000000000000005</v>
      </c>
      <c r="Z20" s="6">
        <v>-0.83</v>
      </c>
      <c r="AA20" s="6">
        <v>-0.84</v>
      </c>
      <c r="AB20" s="6">
        <v>-0.9</v>
      </c>
      <c r="AC20" s="6">
        <v>-0.02</v>
      </c>
      <c r="AD20" s="31">
        <f t="shared" si="3"/>
        <v>0.80438095238095264</v>
      </c>
      <c r="AF20" s="25">
        <f t="shared" si="4"/>
        <v>-0.80999999999999994</v>
      </c>
    </row>
    <row r="21" spans="1:32" ht="15" customHeight="1" x14ac:dyDescent="0.2">
      <c r="A21" s="22" t="s">
        <v>19</v>
      </c>
      <c r="B21" s="23">
        <v>1.6</v>
      </c>
      <c r="C21" s="23">
        <v>3.1</v>
      </c>
      <c r="D21" s="23">
        <v>3.7</v>
      </c>
      <c r="E21" s="23">
        <v>3.3</v>
      </c>
      <c r="F21" s="23">
        <v>3.3</v>
      </c>
      <c r="G21" s="23">
        <v>3.1</v>
      </c>
      <c r="H21" s="23">
        <v>2.8</v>
      </c>
      <c r="I21" s="23">
        <v>2.4</v>
      </c>
      <c r="J21" s="23">
        <v>2.4</v>
      </c>
      <c r="K21" s="23">
        <v>1</v>
      </c>
      <c r="L21" s="23">
        <v>2.5</v>
      </c>
      <c r="M21" s="23">
        <v>1.9</v>
      </c>
      <c r="N21" s="23">
        <v>1.6</v>
      </c>
      <c r="O21" s="23">
        <v>1.1000000000000001</v>
      </c>
      <c r="P21" s="23">
        <v>0.9</v>
      </c>
      <c r="Q21" s="23">
        <v>0.3</v>
      </c>
      <c r="R21" s="23">
        <v>0.2</v>
      </c>
      <c r="S21" s="23">
        <v>-0.3</v>
      </c>
      <c r="T21" s="23">
        <v>-0.1</v>
      </c>
      <c r="U21" s="23">
        <v>-0.1</v>
      </c>
      <c r="V21" s="23">
        <v>-0.4</v>
      </c>
      <c r="W21" s="23">
        <v>-0.6</v>
      </c>
      <c r="X21" s="23">
        <v>-0.7</v>
      </c>
      <c r="Y21" s="23">
        <v>-0.9</v>
      </c>
      <c r="Z21" s="23">
        <v>-0.9</v>
      </c>
      <c r="AA21" s="23">
        <v>0.4</v>
      </c>
      <c r="AB21" s="23">
        <v>0.3</v>
      </c>
      <c r="AC21" s="23">
        <v>0.1</v>
      </c>
      <c r="AD21" s="31">
        <f t="shared" si="3"/>
        <v>1.1428571428571428</v>
      </c>
      <c r="AF21" s="25">
        <f t="shared" si="4"/>
        <v>-1</v>
      </c>
    </row>
    <row r="22" spans="1:32" ht="15" customHeight="1" x14ac:dyDescent="0.2">
      <c r="A22" s="4" t="s">
        <v>20</v>
      </c>
      <c r="B22" s="5">
        <v>3.8</v>
      </c>
      <c r="C22" s="5">
        <v>4.2</v>
      </c>
      <c r="D22" s="5">
        <v>3.5</v>
      </c>
      <c r="E22" s="5">
        <v>3.3</v>
      </c>
      <c r="F22" s="5">
        <v>3.5</v>
      </c>
      <c r="G22" s="5">
        <v>3.5</v>
      </c>
      <c r="H22" s="5">
        <v>3.5</v>
      </c>
      <c r="I22" s="5">
        <v>2.9</v>
      </c>
      <c r="J22" s="5">
        <v>2.6</v>
      </c>
      <c r="K22" s="5">
        <v>2.2000000000000002</v>
      </c>
      <c r="L22" s="5">
        <v>2.1</v>
      </c>
      <c r="M22" s="5">
        <v>1.7</v>
      </c>
      <c r="N22" s="5">
        <v>1.4</v>
      </c>
      <c r="O22" s="6">
        <v>1.5</v>
      </c>
      <c r="P22" s="6">
        <v>1.1000000000000001</v>
      </c>
      <c r="Q22" s="6">
        <v>0.01</v>
      </c>
      <c r="R22" s="6">
        <v>-0.7</v>
      </c>
      <c r="S22" s="6">
        <v>-0.6</v>
      </c>
      <c r="T22" s="6">
        <v>-0.71</v>
      </c>
      <c r="U22" s="6">
        <v>-1.6</v>
      </c>
      <c r="V22" s="6">
        <v>-1.9</v>
      </c>
      <c r="W22" s="6">
        <v>-4.5999999999999996</v>
      </c>
      <c r="X22" s="6">
        <v>-2.2000000000000002</v>
      </c>
      <c r="Y22" s="6">
        <v>-2.2000000000000002</v>
      </c>
      <c r="Z22" s="6">
        <v>-2</v>
      </c>
      <c r="AA22" s="6">
        <v>-3.6</v>
      </c>
      <c r="AB22" s="6">
        <v>-3.21</v>
      </c>
      <c r="AC22" s="6">
        <v>-2.7</v>
      </c>
      <c r="AD22" s="31">
        <f t="shared" si="3"/>
        <v>0.52821428571428553</v>
      </c>
      <c r="AF22" s="25">
        <f t="shared" si="4"/>
        <v>0.70000000000000018</v>
      </c>
    </row>
    <row r="23" spans="1:32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2.7</v>
      </c>
      <c r="L23" s="23">
        <v>0.5</v>
      </c>
      <c r="M23" s="23">
        <v>0.1</v>
      </c>
      <c r="N23" s="23">
        <v>-0.6</v>
      </c>
      <c r="O23" s="23">
        <v>-0.8</v>
      </c>
      <c r="P23" s="23">
        <v>-1.2</v>
      </c>
      <c r="Q23" s="23">
        <v>-2.1</v>
      </c>
      <c r="R23" s="23">
        <v>-1.7</v>
      </c>
      <c r="S23" s="23">
        <v>-1.8</v>
      </c>
      <c r="T23" s="23">
        <v>-2.2000000000000002</v>
      </c>
      <c r="U23" s="23">
        <v>-2.5</v>
      </c>
      <c r="V23" s="23">
        <v>-2.5</v>
      </c>
      <c r="W23" s="23">
        <v>-2.8</v>
      </c>
      <c r="X23" s="23">
        <v>-3.2</v>
      </c>
      <c r="Y23" s="23">
        <v>-3.1</v>
      </c>
      <c r="Z23" s="23">
        <v>-2.8</v>
      </c>
      <c r="AA23" s="23">
        <v>-2.7</v>
      </c>
      <c r="AB23" s="23">
        <v>-2.6</v>
      </c>
      <c r="AC23" s="23">
        <v>0.4</v>
      </c>
      <c r="AD23" s="31">
        <f t="shared" si="3"/>
        <v>-1.5210526315789474</v>
      </c>
      <c r="AF23" s="25">
        <f t="shared" si="4"/>
        <v>-3.1999999999999997</v>
      </c>
    </row>
    <row r="24" spans="1:32" ht="15" customHeight="1" x14ac:dyDescent="0.2">
      <c r="A24" s="4" t="s">
        <v>22</v>
      </c>
      <c r="B24" s="5"/>
      <c r="C24" s="5">
        <v>4.5999999999999996</v>
      </c>
      <c r="D24" s="5">
        <v>3.6</v>
      </c>
      <c r="E24" s="5">
        <v>4.7</v>
      </c>
      <c r="F24" s="5">
        <v>4.5999999999999996</v>
      </c>
      <c r="G24" s="5">
        <v>4.7</v>
      </c>
      <c r="H24" s="5">
        <v>3.5</v>
      </c>
      <c r="I24" s="5">
        <v>3.8</v>
      </c>
      <c r="J24" s="5">
        <v>3.2</v>
      </c>
      <c r="K24" s="5">
        <v>2.2000000000000002</v>
      </c>
      <c r="L24" s="5">
        <v>1.4</v>
      </c>
      <c r="M24" s="5">
        <v>1.4</v>
      </c>
      <c r="N24" s="5">
        <v>1</v>
      </c>
      <c r="O24" s="6">
        <v>0.1</v>
      </c>
      <c r="P24" s="6">
        <v>-0.1</v>
      </c>
      <c r="Q24" s="6">
        <v>-0.6</v>
      </c>
      <c r="R24" s="6">
        <v>-0.5</v>
      </c>
      <c r="S24" s="6">
        <v>-0.8</v>
      </c>
      <c r="T24" s="6">
        <v>-1.2</v>
      </c>
      <c r="U24" s="6">
        <v>-1.4</v>
      </c>
      <c r="V24" s="6">
        <v>-1.2</v>
      </c>
      <c r="W24" s="6">
        <v>-1.6</v>
      </c>
      <c r="X24" s="6">
        <v>-2.1</v>
      </c>
      <c r="Y24" s="6">
        <v>-3.2</v>
      </c>
      <c r="Z24" s="6">
        <v>-2.4</v>
      </c>
      <c r="AA24" s="6">
        <v>-2.7</v>
      </c>
      <c r="AB24" s="6">
        <v>-3.2</v>
      </c>
      <c r="AC24" s="6">
        <v>-5.6</v>
      </c>
      <c r="AD24" s="31">
        <f t="shared" si="3"/>
        <v>0.45185185185185189</v>
      </c>
      <c r="AF24" s="25">
        <f t="shared" si="4"/>
        <v>3.1999999999999997</v>
      </c>
    </row>
    <row r="25" spans="1:32" ht="15" customHeight="1" x14ac:dyDescent="0.2">
      <c r="A25" s="22" t="s">
        <v>23</v>
      </c>
      <c r="B25" s="23">
        <v>1.9</v>
      </c>
      <c r="C25" s="23">
        <v>2.4</v>
      </c>
      <c r="D25" s="23">
        <v>3.1</v>
      </c>
      <c r="E25" s="23">
        <v>2.2999999999999998</v>
      </c>
      <c r="F25" s="23">
        <v>2.2999999999999998</v>
      </c>
      <c r="G25" s="23">
        <v>1.7</v>
      </c>
      <c r="H25" s="23">
        <v>1.5</v>
      </c>
      <c r="I25" s="23">
        <v>1.7</v>
      </c>
      <c r="J25" s="23">
        <v>1.8</v>
      </c>
      <c r="K25" s="23">
        <v>1.4</v>
      </c>
      <c r="L25" s="23">
        <v>0.8</v>
      </c>
      <c r="M25" s="23">
        <v>1.2</v>
      </c>
      <c r="N25" s="23">
        <v>0.2</v>
      </c>
      <c r="O25" s="23">
        <v>0.8</v>
      </c>
      <c r="P25" s="23">
        <v>-0.3</v>
      </c>
      <c r="Q25" s="23">
        <v>0.01</v>
      </c>
      <c r="R25" s="23">
        <v>-0.1</v>
      </c>
      <c r="S25" s="23">
        <v>-0.4</v>
      </c>
      <c r="T25" s="23">
        <v>-0.6</v>
      </c>
      <c r="U25" s="23">
        <v>-0.6</v>
      </c>
      <c r="V25" s="23">
        <v>-1.3</v>
      </c>
      <c r="W25" s="23">
        <v>0.5</v>
      </c>
      <c r="X25" s="23">
        <v>0.4</v>
      </c>
      <c r="Y25" s="23">
        <v>0.3</v>
      </c>
      <c r="Z25" s="23">
        <v>0.3</v>
      </c>
      <c r="AA25" s="23">
        <v>0.2</v>
      </c>
      <c r="AB25" s="23">
        <v>0.2</v>
      </c>
      <c r="AC25" s="23">
        <v>0.3</v>
      </c>
      <c r="AD25" s="31">
        <f t="shared" si="3"/>
        <v>0.78607142857142842</v>
      </c>
      <c r="AF25" s="25">
        <f t="shared" si="4"/>
        <v>0</v>
      </c>
    </row>
    <row r="26" spans="1:32" ht="15" customHeight="1" x14ac:dyDescent="0.2">
      <c r="A26" s="4" t="s">
        <v>24</v>
      </c>
      <c r="B26" s="5">
        <v>6.9</v>
      </c>
      <c r="C26" s="5">
        <v>8.4</v>
      </c>
      <c r="D26" s="5">
        <v>7.8</v>
      </c>
      <c r="E26" s="5">
        <v>7.4</v>
      </c>
      <c r="F26" s="5">
        <v>7.5</v>
      </c>
      <c r="G26" s="5">
        <v>7.3</v>
      </c>
      <c r="H26" s="5">
        <v>6.4</v>
      </c>
      <c r="I26" s="5">
        <v>6</v>
      </c>
      <c r="J26" s="5">
        <v>4.7</v>
      </c>
      <c r="K26" s="5">
        <v>5.9</v>
      </c>
      <c r="L26" s="5">
        <v>4.8</v>
      </c>
      <c r="M26" s="5">
        <v>4.7</v>
      </c>
      <c r="N26" s="5">
        <v>4.2</v>
      </c>
      <c r="O26" s="6">
        <v>2.7</v>
      </c>
      <c r="P26" s="6">
        <v>1.89</v>
      </c>
      <c r="Q26" s="6">
        <v>1.6</v>
      </c>
      <c r="R26" s="5" t="s">
        <v>1</v>
      </c>
      <c r="S26" s="6">
        <v>0.1</v>
      </c>
      <c r="T26" s="6">
        <v>0.1</v>
      </c>
      <c r="U26" s="6">
        <v>-0.02</v>
      </c>
      <c r="V26" s="6">
        <v>-0.27</v>
      </c>
      <c r="W26" s="6">
        <v>-0.66</v>
      </c>
      <c r="X26" s="6">
        <v>-0.68</v>
      </c>
      <c r="Y26" s="6">
        <v>-0.21627158703545901</v>
      </c>
      <c r="Z26" s="6">
        <v>-0.33</v>
      </c>
      <c r="AA26" s="6">
        <v>-0.21</v>
      </c>
      <c r="AB26" s="6">
        <v>-0.44</v>
      </c>
      <c r="AC26" s="6">
        <v>-0.77</v>
      </c>
      <c r="AD26" s="31">
        <f t="shared" si="3"/>
        <v>3.1405084597394275</v>
      </c>
      <c r="AF26" s="25">
        <f t="shared" si="4"/>
        <v>0.44</v>
      </c>
    </row>
    <row r="27" spans="1:32" ht="15" customHeight="1" x14ac:dyDescent="0.2">
      <c r="A27" s="22" t="s">
        <v>25</v>
      </c>
      <c r="B27" s="23">
        <v>5.2</v>
      </c>
      <c r="C27" s="23"/>
      <c r="D27" s="23">
        <v>7.7</v>
      </c>
      <c r="E27" s="23">
        <v>7.7</v>
      </c>
      <c r="F27" s="23">
        <v>7.8</v>
      </c>
      <c r="G27" s="23">
        <v>7.7</v>
      </c>
      <c r="H27" s="23">
        <v>7.4</v>
      </c>
      <c r="I27" s="23">
        <v>7.1</v>
      </c>
      <c r="J27" s="23">
        <v>6.5</v>
      </c>
      <c r="K27" s="23">
        <v>6.3</v>
      </c>
      <c r="L27" s="23">
        <v>5.6</v>
      </c>
      <c r="M27" s="23">
        <v>4.7</v>
      </c>
      <c r="N27" s="23">
        <v>4.55</v>
      </c>
      <c r="O27" s="23">
        <v>4.43</v>
      </c>
      <c r="P27" s="23">
        <v>3.98</v>
      </c>
      <c r="Q27" s="23">
        <v>3.57</v>
      </c>
      <c r="R27" s="23">
        <v>3.6</v>
      </c>
      <c r="S27" s="23">
        <v>3.5</v>
      </c>
      <c r="T27" s="23">
        <v>3.2</v>
      </c>
      <c r="U27" s="23">
        <v>3.2</v>
      </c>
      <c r="V27" s="23">
        <v>3</v>
      </c>
      <c r="W27" s="23">
        <v>2.9</v>
      </c>
      <c r="X27" s="23">
        <v>1.9</v>
      </c>
      <c r="Y27" s="23">
        <v>1.8</v>
      </c>
      <c r="Z27" s="23">
        <v>1.6</v>
      </c>
      <c r="AA27" s="23">
        <v>1.3</v>
      </c>
      <c r="AB27" s="23">
        <v>1.1000000000000001</v>
      </c>
      <c r="AC27" s="23">
        <v>0.96664436563234868</v>
      </c>
      <c r="AD27" s="31">
        <f t="shared" si="3"/>
        <v>4.381357198727124</v>
      </c>
      <c r="AF27" s="25">
        <f t="shared" si="4"/>
        <v>0.63335563436765141</v>
      </c>
    </row>
    <row r="28" spans="1:32" ht="15" customHeight="1" x14ac:dyDescent="0.2">
      <c r="A28" s="4" t="s">
        <v>26</v>
      </c>
      <c r="B28" s="5">
        <v>10</v>
      </c>
      <c r="C28" s="5">
        <v>1.3</v>
      </c>
      <c r="D28" s="5"/>
      <c r="E28" s="5">
        <v>2.6</v>
      </c>
      <c r="F28" s="5">
        <v>2.2999999999999998</v>
      </c>
      <c r="G28" s="5">
        <v>3</v>
      </c>
      <c r="H28" s="5">
        <v>3.9</v>
      </c>
      <c r="I28" s="5">
        <v>1.7</v>
      </c>
      <c r="J28" s="5">
        <v>1.2</v>
      </c>
      <c r="K28" s="5">
        <v>0.5</v>
      </c>
      <c r="L28" s="5">
        <v>1.1000000000000001</v>
      </c>
      <c r="M28" s="5">
        <v>-0.3</v>
      </c>
      <c r="N28" s="5">
        <v>0.5</v>
      </c>
      <c r="O28" s="6">
        <v>0.8</v>
      </c>
      <c r="P28" s="6">
        <v>0.1</v>
      </c>
      <c r="Q28" s="6">
        <v>0.1</v>
      </c>
      <c r="R28" s="6">
        <v>-1.3</v>
      </c>
      <c r="S28" s="6">
        <v>-0.5</v>
      </c>
      <c r="T28" s="6">
        <v>-0.64</v>
      </c>
      <c r="U28" s="6">
        <v>-0.8</v>
      </c>
      <c r="V28" s="6">
        <v>-1.61</v>
      </c>
      <c r="W28" s="6">
        <v>-0.63</v>
      </c>
      <c r="X28" s="6">
        <v>-1.03</v>
      </c>
      <c r="Y28" s="6">
        <v>-0.33999999999999997</v>
      </c>
      <c r="Z28" s="6">
        <v>-9.0909090909090662E-3</v>
      </c>
      <c r="AA28" s="6">
        <v>0.1</v>
      </c>
      <c r="AB28" s="6">
        <v>0.15</v>
      </c>
      <c r="AC28" s="6">
        <v>0</v>
      </c>
      <c r="AD28" s="31">
        <f t="shared" si="3"/>
        <v>0.82188552188552189</v>
      </c>
      <c r="AF28" s="25">
        <f t="shared" si="4"/>
        <v>-9.0909090909090662E-3</v>
      </c>
    </row>
    <row r="29" spans="1:32" ht="15" customHeight="1" x14ac:dyDescent="0.2">
      <c r="A29" s="22" t="s">
        <v>27</v>
      </c>
      <c r="B29" s="23">
        <v>-1.6</v>
      </c>
      <c r="C29" s="23">
        <v>-0.9</v>
      </c>
      <c r="D29" s="23">
        <v>-0.5</v>
      </c>
      <c r="E29" s="23">
        <v>-0.4</v>
      </c>
      <c r="F29" s="23">
        <v>0.1</v>
      </c>
      <c r="G29" s="23">
        <v>5.5</v>
      </c>
      <c r="H29" s="23">
        <v>4.9000000000000004</v>
      </c>
      <c r="I29" s="23">
        <v>3</v>
      </c>
      <c r="J29" s="23">
        <v>2.4</v>
      </c>
      <c r="K29" s="23">
        <v>-0.7</v>
      </c>
      <c r="L29" s="23">
        <v>-0.3</v>
      </c>
      <c r="M29" s="23">
        <v>0.2</v>
      </c>
      <c r="N29" s="23">
        <v>0.01</v>
      </c>
      <c r="O29" s="23">
        <v>-0.5</v>
      </c>
      <c r="P29" s="23">
        <v>0.41</v>
      </c>
      <c r="Q29" s="23">
        <v>-0.32</v>
      </c>
      <c r="R29" s="23">
        <v>0.06</v>
      </c>
      <c r="S29" s="23">
        <v>-0.7</v>
      </c>
      <c r="T29" s="23">
        <v>-2.2999999999999998</v>
      </c>
      <c r="U29" s="23">
        <v>-1</v>
      </c>
      <c r="V29" s="23">
        <v>-0.8</v>
      </c>
      <c r="W29" s="23">
        <v>-0.8</v>
      </c>
      <c r="X29" s="23">
        <v>-0.6</v>
      </c>
      <c r="Y29" s="23">
        <v>-0.9</v>
      </c>
      <c r="Z29" s="23">
        <v>-1.4</v>
      </c>
      <c r="AA29" s="23">
        <v>-1.3</v>
      </c>
      <c r="AB29" s="23">
        <v>-1.9</v>
      </c>
      <c r="AC29" s="23">
        <v>-1.9</v>
      </c>
      <c r="AD29" s="31">
        <f t="shared" si="3"/>
        <v>-7.9999999999999877E-2</v>
      </c>
      <c r="AF29" s="25">
        <f t="shared" si="4"/>
        <v>0.5</v>
      </c>
    </row>
    <row r="30" spans="1:32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F30" s="25">
        <f t="shared" si="4"/>
        <v>0</v>
      </c>
    </row>
    <row r="31" spans="1:32" ht="15" customHeight="1" x14ac:dyDescent="0.2">
      <c r="A31" s="21" t="s">
        <v>30</v>
      </c>
      <c r="B31" s="13">
        <f>MIN(B$4:B$29)</f>
        <v>-1.6</v>
      </c>
      <c r="C31" s="13">
        <f>MIN(C$4:C$29)</f>
        <v>-0.9</v>
      </c>
      <c r="D31" s="13">
        <f>MIN(D$4:D$29)</f>
        <v>-0.6</v>
      </c>
      <c r="E31" s="13">
        <f t="shared" ref="E31:K31" si="5">MIN(E$4:E$29)</f>
        <v>-0.6</v>
      </c>
      <c r="F31" s="13">
        <f t="shared" si="5"/>
        <v>0.1</v>
      </c>
      <c r="G31" s="13">
        <f t="shared" si="5"/>
        <v>0.2</v>
      </c>
      <c r="H31" s="13">
        <f t="shared" si="5"/>
        <v>0</v>
      </c>
      <c r="I31" s="13">
        <f t="shared" si="5"/>
        <v>0.1</v>
      </c>
      <c r="J31" s="13">
        <f t="shared" si="5"/>
        <v>-0.3</v>
      </c>
      <c r="K31" s="13">
        <f t="shared" si="5"/>
        <v>-3.7</v>
      </c>
      <c r="L31" s="13">
        <f t="shared" ref="L31:AD31" si="6">MIN(L$4:L$29)</f>
        <v>-0.6</v>
      </c>
      <c r="M31" s="13">
        <f t="shared" si="6"/>
        <v>-1.5</v>
      </c>
      <c r="N31" s="13">
        <f t="shared" si="6"/>
        <v>-2</v>
      </c>
      <c r="O31" s="13">
        <f t="shared" si="6"/>
        <v>-3.2</v>
      </c>
      <c r="P31" s="13">
        <f t="shared" si="6"/>
        <v>-1.64</v>
      </c>
      <c r="Q31" s="13">
        <f t="shared" si="6"/>
        <v>-2.4</v>
      </c>
      <c r="R31" s="13">
        <f t="shared" si="6"/>
        <v>-2.5</v>
      </c>
      <c r="S31" s="13">
        <f t="shared" si="6"/>
        <v>-4.4000000000000004</v>
      </c>
      <c r="T31" s="13">
        <f t="shared" si="6"/>
        <v>-3.9</v>
      </c>
      <c r="U31" s="13">
        <f t="shared" si="6"/>
        <v>-2.9</v>
      </c>
      <c r="V31" s="13">
        <f t="shared" si="6"/>
        <v>-3.98</v>
      </c>
      <c r="W31" s="13">
        <f t="shared" si="6"/>
        <v>-6.2822713295982213</v>
      </c>
      <c r="X31" s="13">
        <f t="shared" si="6"/>
        <v>-7.8</v>
      </c>
      <c r="Y31" s="13">
        <f t="shared" si="6"/>
        <v>-7.3</v>
      </c>
      <c r="Z31" s="13">
        <f t="shared" si="6"/>
        <v>-9</v>
      </c>
      <c r="AA31" s="13">
        <f t="shared" si="6"/>
        <v>-9.6</v>
      </c>
      <c r="AB31" s="13">
        <f t="shared" si="6"/>
        <v>-6.8</v>
      </c>
      <c r="AC31" s="13">
        <f t="shared" si="6"/>
        <v>-6.9</v>
      </c>
      <c r="AD31" s="13">
        <f t="shared" si="6"/>
        <v>-2.3296296296296295</v>
      </c>
      <c r="AF31" s="25">
        <f t="shared" si="4"/>
        <v>-2.0999999999999996</v>
      </c>
    </row>
    <row r="32" spans="1:32" ht="15" customHeight="1" x14ac:dyDescent="0.2">
      <c r="A32" s="12" t="s">
        <v>80</v>
      </c>
      <c r="B32" s="10">
        <f>MEDIAN(B$4:B$29)</f>
        <v>2.8499999999999996</v>
      </c>
      <c r="C32" s="10">
        <f>MEDIAN(C$4:C$29)</f>
        <v>3.1</v>
      </c>
      <c r="D32" s="10">
        <f>MEDIAN(D$4:D$29)</f>
        <v>3.55</v>
      </c>
      <c r="E32" s="10">
        <f t="shared" ref="E32:K32" si="7">MEDIAN(E$4:E$29)</f>
        <v>3</v>
      </c>
      <c r="F32" s="10">
        <f t="shared" si="7"/>
        <v>3.3</v>
      </c>
      <c r="G32" s="10">
        <f t="shared" si="7"/>
        <v>3.2</v>
      </c>
      <c r="H32" s="10">
        <f t="shared" si="7"/>
        <v>3.2</v>
      </c>
      <c r="I32" s="10">
        <f t="shared" si="7"/>
        <v>2.8499999999999996</v>
      </c>
      <c r="J32" s="10">
        <f t="shared" si="7"/>
        <v>2.5</v>
      </c>
      <c r="K32" s="10">
        <f t="shared" si="7"/>
        <v>2.2000000000000002</v>
      </c>
      <c r="L32" s="10">
        <f t="shared" ref="L32:AD32" si="8">MEDIAN(L$4:L$29)</f>
        <v>1.6</v>
      </c>
      <c r="M32" s="10">
        <f t="shared" si="8"/>
        <v>1.25</v>
      </c>
      <c r="N32" s="10">
        <f t="shared" si="8"/>
        <v>0.9</v>
      </c>
      <c r="O32" s="10">
        <f t="shared" si="8"/>
        <v>0.85000000000000009</v>
      </c>
      <c r="P32" s="10">
        <f t="shared" si="8"/>
        <v>0.35499999999999998</v>
      </c>
      <c r="Q32" s="10">
        <f t="shared" si="8"/>
        <v>5.5000000000000007E-2</v>
      </c>
      <c r="R32" s="10">
        <f t="shared" si="8"/>
        <v>-0.1</v>
      </c>
      <c r="S32" s="10">
        <f t="shared" si="8"/>
        <v>-0.45</v>
      </c>
      <c r="T32" s="10">
        <f t="shared" si="8"/>
        <v>-0.43</v>
      </c>
      <c r="U32" s="10">
        <f t="shared" si="8"/>
        <v>-0.6</v>
      </c>
      <c r="V32" s="10">
        <f t="shared" si="8"/>
        <v>-0.8</v>
      </c>
      <c r="W32" s="10">
        <f t="shared" si="8"/>
        <v>-0.63</v>
      </c>
      <c r="X32" s="10">
        <f t="shared" si="8"/>
        <v>-0.7</v>
      </c>
      <c r="Y32" s="10">
        <f t="shared" si="8"/>
        <v>-0.56000000000000005</v>
      </c>
      <c r="Z32" s="10">
        <f t="shared" si="8"/>
        <v>-0.26500000000000001</v>
      </c>
      <c r="AA32" s="10">
        <f t="shared" si="8"/>
        <v>0.15000000000000002</v>
      </c>
      <c r="AB32" s="10">
        <f t="shared" si="8"/>
        <v>7.4999999999999997E-2</v>
      </c>
      <c r="AC32" s="10">
        <f t="shared" si="8"/>
        <v>0.2</v>
      </c>
      <c r="AD32" s="10">
        <f t="shared" si="8"/>
        <v>0.71418956043956028</v>
      </c>
      <c r="AF32" s="25">
        <f t="shared" si="4"/>
        <v>-0.46500000000000002</v>
      </c>
    </row>
    <row r="33" spans="1:32" ht="15" customHeight="1" x14ac:dyDescent="0.2">
      <c r="A33" s="21" t="s">
        <v>31</v>
      </c>
      <c r="B33" s="13">
        <f>MAX(B$4:B$29)</f>
        <v>10</v>
      </c>
      <c r="C33" s="13">
        <f>MAX(C$4:C$29)</f>
        <v>9</v>
      </c>
      <c r="D33" s="13">
        <f>MAX(D$4:D$29)</f>
        <v>9.6</v>
      </c>
      <c r="E33" s="13">
        <f t="shared" ref="E33:K33" si="9">MAX(E$4:E$29)</f>
        <v>8.8000000000000007</v>
      </c>
      <c r="F33" s="13">
        <f t="shared" si="9"/>
        <v>9</v>
      </c>
      <c r="G33" s="13">
        <f t="shared" si="9"/>
        <v>8.8000000000000007</v>
      </c>
      <c r="H33" s="13">
        <f t="shared" si="9"/>
        <v>9.1999999999999993</v>
      </c>
      <c r="I33" s="13">
        <f t="shared" si="9"/>
        <v>8.3000000000000007</v>
      </c>
      <c r="J33" s="13">
        <f t="shared" si="9"/>
        <v>7.5</v>
      </c>
      <c r="K33" s="13">
        <f t="shared" si="9"/>
        <v>7</v>
      </c>
      <c r="L33" s="13">
        <f t="shared" ref="L33:AD33" si="10">MAX(L$4:L$29)</f>
        <v>7.3</v>
      </c>
      <c r="M33" s="13">
        <f t="shared" si="10"/>
        <v>6.5</v>
      </c>
      <c r="N33" s="13">
        <f t="shared" si="10"/>
        <v>6.1</v>
      </c>
      <c r="O33" s="13">
        <f t="shared" si="10"/>
        <v>5.7</v>
      </c>
      <c r="P33" s="13">
        <f t="shared" si="10"/>
        <v>6</v>
      </c>
      <c r="Q33" s="13">
        <f t="shared" si="10"/>
        <v>6.3</v>
      </c>
      <c r="R33" s="13">
        <f t="shared" si="10"/>
        <v>5</v>
      </c>
      <c r="S33" s="13">
        <f t="shared" si="10"/>
        <v>4.4000000000000004</v>
      </c>
      <c r="T33" s="13">
        <f t="shared" si="10"/>
        <v>4.87</v>
      </c>
      <c r="U33" s="13">
        <f t="shared" si="10"/>
        <v>4.32</v>
      </c>
      <c r="V33" s="13">
        <f t="shared" si="10"/>
        <v>4.0999999999999996</v>
      </c>
      <c r="W33" s="13">
        <f t="shared" si="10"/>
        <v>3.8</v>
      </c>
      <c r="X33" s="13">
        <f t="shared" si="10"/>
        <v>3.24</v>
      </c>
      <c r="Y33" s="13">
        <f t="shared" si="10"/>
        <v>2.89</v>
      </c>
      <c r="Z33" s="13">
        <f t="shared" si="10"/>
        <v>2.61</v>
      </c>
      <c r="AA33" s="13">
        <f t="shared" si="10"/>
        <v>2.5</v>
      </c>
      <c r="AB33" s="13">
        <f t="shared" si="10"/>
        <v>2.2000000000000002</v>
      </c>
      <c r="AC33" s="13">
        <f t="shared" si="10"/>
        <v>1.9</v>
      </c>
      <c r="AD33" s="13">
        <f t="shared" si="10"/>
        <v>5.8964285714285714</v>
      </c>
      <c r="AF33" s="25">
        <f t="shared" si="4"/>
        <v>0.71</v>
      </c>
    </row>
    <row r="34" spans="1:32" ht="15" customHeight="1" x14ac:dyDescent="0.2">
      <c r="A34" s="2" t="s">
        <v>82</v>
      </c>
      <c r="B34" s="8">
        <f>AVERAGE(B4:B29)</f>
        <v>3.5</v>
      </c>
      <c r="C34" s="8">
        <f>AVERAGE(C4:C29)</f>
        <v>3.5647058823529414</v>
      </c>
      <c r="D34" s="8">
        <f>AVERAGE(D4:D29)</f>
        <v>3.7722222222222226</v>
      </c>
      <c r="E34" s="8">
        <f t="shared" ref="E34:K34" si="11">AVERAGE(E4:E29)</f>
        <v>3.2380952380952372</v>
      </c>
      <c r="F34" s="8">
        <f t="shared" si="11"/>
        <v>3.5649999999999991</v>
      </c>
      <c r="G34" s="8">
        <f t="shared" si="11"/>
        <v>3.6318181818181823</v>
      </c>
      <c r="H34" s="8">
        <f t="shared" si="11"/>
        <v>3.3608695652173917</v>
      </c>
      <c r="I34" s="8">
        <f t="shared" si="11"/>
        <v>3</v>
      </c>
      <c r="J34" s="8">
        <f t="shared" si="11"/>
        <v>2.7652173913043483</v>
      </c>
      <c r="K34" s="8">
        <f t="shared" si="11"/>
        <v>2.2159999999999997</v>
      </c>
      <c r="L34" s="8">
        <f t="shared" ref="L34:Q34" si="12">AVERAGE(L4:L29)</f>
        <v>2.134615384615385</v>
      </c>
      <c r="M34" s="8">
        <f t="shared" si="12"/>
        <v>1.6461538461538465</v>
      </c>
      <c r="N34" s="8">
        <f t="shared" si="12"/>
        <v>1.1909756695728226</v>
      </c>
      <c r="O34" s="10">
        <f t="shared" si="12"/>
        <v>0.92988732123700713</v>
      </c>
      <c r="P34" s="10">
        <f t="shared" si="12"/>
        <v>0.72039873157176126</v>
      </c>
      <c r="Q34" s="10">
        <f t="shared" si="12"/>
        <v>0.34600303587857323</v>
      </c>
      <c r="R34" s="10">
        <f t="shared" ref="R34:AD34" si="13">AVERAGE(R4:R29)</f>
        <v>8.7037464895366123E-2</v>
      </c>
      <c r="S34" s="10">
        <f t="shared" si="13"/>
        <v>-0.11656137641886699</v>
      </c>
      <c r="T34" s="10">
        <f t="shared" si="13"/>
        <v>-0.36199999999999988</v>
      </c>
      <c r="U34" s="10">
        <f t="shared" si="13"/>
        <v>-0.45264063597186988</v>
      </c>
      <c r="V34" s="10">
        <f t="shared" si="13"/>
        <v>-0.53984063597186993</v>
      </c>
      <c r="W34" s="10">
        <f t="shared" ref="W34:X34" si="14">AVERAGE(W4:W29)</f>
        <v>-0.75449085318392906</v>
      </c>
      <c r="X34" s="10">
        <f t="shared" si="14"/>
        <v>-0.9598290809496689</v>
      </c>
      <c r="Y34" s="10">
        <f t="shared" ref="Y34:Z34" si="15">AVERAGE(Y4:Y29)</f>
        <v>-0.8290508634814181</v>
      </c>
      <c r="Z34" s="10">
        <f t="shared" si="15"/>
        <v>-0.75458041958041933</v>
      </c>
      <c r="AA34" s="10">
        <f t="shared" ref="AA34:AB34" si="16">AVERAGE(AA4:AA29)</f>
        <v>-0.58692307692307688</v>
      </c>
      <c r="AB34" s="10">
        <f t="shared" si="16"/>
        <v>-0.65620568818166147</v>
      </c>
      <c r="AC34" s="10">
        <f t="shared" ref="AC34" si="17">AVERAGE(AC4:AC29)</f>
        <v>-0.40817795638272036</v>
      </c>
      <c r="AD34" s="10">
        <f t="shared" si="13"/>
        <v>0.97756570243355967</v>
      </c>
      <c r="AF34" s="25">
        <f t="shared" si="4"/>
        <v>-0.34640246319769896</v>
      </c>
    </row>
    <row r="35" spans="1:32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2" ht="15" customHeight="1" x14ac:dyDescent="0.2">
      <c r="A36" s="37" t="s">
        <v>7</v>
      </c>
      <c r="B36" s="39">
        <f>IF($A$36="","",VLOOKUP($A$36,$A$4:B29,(B2-1989)))</f>
        <v>1.6</v>
      </c>
      <c r="C36" s="43">
        <f>IF($A$36="","",VLOOKUP($A$36,$A$4:C29,(B2-1988)))</f>
        <v>2.2999999999999998</v>
      </c>
      <c r="D36" s="43">
        <f>IF($A$36="","",VLOOKUP($A$36,$A$4:D29,(C2-1988)))</f>
        <v>1.8</v>
      </c>
      <c r="E36" s="43">
        <f>IF($A$36="","",VLOOKUP($A$36,$A$4:E29,(D2-1988)))</f>
        <v>1</v>
      </c>
      <c r="F36" s="43">
        <f>IF($A$36="","",VLOOKUP($A$36,$A$4:F29,(E2-1988)))</f>
        <v>1</v>
      </c>
      <c r="G36" s="43">
        <f>IF($A$36="","",VLOOKUP($A$36,$A$4:G29,(F2-1988)))</f>
        <v>0.5</v>
      </c>
      <c r="H36" s="43">
        <f>IF($A$36="","",VLOOKUP($A$36,$A$4:H29,(G2-1988)))</f>
        <v>1.5</v>
      </c>
      <c r="I36" s="43">
        <f>IF($A$36="","",VLOOKUP($A$36,$A$4:I29,(H2-1988)))</f>
        <v>1.8</v>
      </c>
      <c r="J36" s="43">
        <f>IF($A$36="","",VLOOKUP($A$36,$A$4:J29,(I2-1988)))</f>
        <v>1.2</v>
      </c>
      <c r="K36" s="43">
        <f>IF($A$36="","",VLOOKUP($A$36,$A$4:K29,(J2-1988)))</f>
        <v>1.6</v>
      </c>
      <c r="L36" s="43">
        <f>IF($A$36="","",VLOOKUP($A$36,$A$4:L29,(K2-1988)))</f>
        <v>1.6</v>
      </c>
      <c r="M36" s="43">
        <f>IF($A$36="","",VLOOKUP($A$36,$A$4:M29,(L2-1988)))</f>
        <v>1.2</v>
      </c>
      <c r="N36" s="43">
        <f>IF($A$36="","",VLOOKUP($A$36,$A$4:N29,(M2-1988)))</f>
        <v>0.7</v>
      </c>
      <c r="O36" s="43">
        <f>IF($A$36="","",VLOOKUP($A$36,$A$4:O29,(N2-1988)))</f>
        <v>0.5</v>
      </c>
      <c r="P36" s="43">
        <f>IF($A$36="","",VLOOKUP($A$36,$A$4:P29,(O2-1988)))</f>
        <v>0.3</v>
      </c>
      <c r="Q36" s="43">
        <f>IF($A$36="","",VLOOKUP($A$36,$A$4:Q29,(P2-1988)))</f>
        <v>-0.2</v>
      </c>
      <c r="R36" s="43">
        <f>IF($A$36="","",VLOOKUP($A$36,$A$4:R29,(Q2-1988)))</f>
        <v>-0.3</v>
      </c>
      <c r="S36" s="43">
        <f>IF($A$36="","",VLOOKUP($A$36,$A$4:S29,(R2-1988)))</f>
        <v>-0.6</v>
      </c>
      <c r="T36" s="43">
        <f>IF($A$36="","",VLOOKUP($A$36,$A$4:T29,(S2-1988)))</f>
        <v>-0.39</v>
      </c>
      <c r="U36" s="43">
        <f>IF($A$36="","",VLOOKUP($A$36,$A$4:U29,(T2-1988)))</f>
        <v>0.3</v>
      </c>
      <c r="V36" s="43">
        <f>IF($A$36="","",VLOOKUP($A$36,$A$4:V29,(U2-1988)))</f>
        <v>0</v>
      </c>
      <c r="W36" s="43">
        <f>IF($A$36="","",VLOOKUP($A$36,$A$4:W29,(V2-1988)))</f>
        <v>-0.6</v>
      </c>
      <c r="X36" s="43">
        <f>IF($A$36="","",VLOOKUP($A$36,$A$4:X29,(W2-1988)))</f>
        <v>-0.5</v>
      </c>
      <c r="Y36" s="43">
        <f>IF($A$36="","",VLOOKUP($A$36,$A$4:Y29,(X2-1988)))</f>
        <v>-0.8</v>
      </c>
      <c r="Z36" s="43">
        <f>IF($A$36="","",VLOOKUP($A$36,$A$4:Z29,(Y2-1988)))</f>
        <v>-1.5</v>
      </c>
      <c r="AA36" s="43">
        <f>IF($A$36="","",VLOOKUP($A$36,$A$4:AA29,(Z2-1988)))</f>
        <v>0.9</v>
      </c>
      <c r="AB36" s="43">
        <f>IF($A$36="","",VLOOKUP($A$36,$A$4:AB29,(AA2-1988)))</f>
        <v>0.7</v>
      </c>
      <c r="AC36" s="43">
        <f>IF($A$36="","",VLOOKUP($A$36,$A$4:AC29,(AB2-1988)))</f>
        <v>0.7</v>
      </c>
      <c r="AD36" s="43">
        <f>IF($A$36="","",VLOOKUP($A$36,$A$4:AD29,(V2-1988)))</f>
        <v>-0.6</v>
      </c>
      <c r="AF36" s="25">
        <f>Y36-AB36</f>
        <v>-1.5</v>
      </c>
    </row>
    <row r="37" spans="1:32" ht="15" customHeight="1" x14ac:dyDescent="0.2"/>
    <row r="38" spans="1:32" ht="15" customHeight="1" x14ac:dyDescent="0.2">
      <c r="A38" s="2" t="s">
        <v>29</v>
      </c>
      <c r="P38" s="14"/>
      <c r="U38" s="2">
        <f t="shared" ref="U38:Z38" si="18">COUNTIF(U4:U29,"&lt;0")</f>
        <v>19</v>
      </c>
      <c r="V38" s="2">
        <f t="shared" si="18"/>
        <v>16</v>
      </c>
      <c r="W38" s="2">
        <f t="shared" si="18"/>
        <v>16</v>
      </c>
      <c r="X38" s="2">
        <f t="shared" si="18"/>
        <v>16</v>
      </c>
      <c r="Y38" s="2">
        <f t="shared" si="18"/>
        <v>15</v>
      </c>
      <c r="Z38" s="2">
        <f t="shared" si="18"/>
        <v>15</v>
      </c>
      <c r="AA38" s="2">
        <f t="shared" ref="AA38:AC38" si="19">COUNTIF(AA4:AA29,"&lt;0")</f>
        <v>11</v>
      </c>
      <c r="AB38" s="2">
        <f t="shared" si="19"/>
        <v>12</v>
      </c>
      <c r="AC38" s="2">
        <f t="shared" si="19"/>
        <v>9</v>
      </c>
    </row>
    <row r="39" spans="1:32" ht="15" customHeight="1" x14ac:dyDescent="0.2"/>
    <row r="40" spans="1:32" ht="15" customHeight="1" x14ac:dyDescent="0.2">
      <c r="A40" s="15" t="s">
        <v>46</v>
      </c>
    </row>
    <row r="41" spans="1:32" ht="22.5" x14ac:dyDescent="0.2">
      <c r="A41" s="35" t="s">
        <v>47</v>
      </c>
      <c r="B41" s="49">
        <f t="shared" ref="B41:F41" si="20">COUNTIF(B4:B29,"&lt;=2")</f>
        <v>7</v>
      </c>
      <c r="C41" s="49">
        <f t="shared" si="20"/>
        <v>5</v>
      </c>
      <c r="D41" s="49">
        <f t="shared" si="20"/>
        <v>6</v>
      </c>
      <c r="E41" s="49">
        <f t="shared" si="20"/>
        <v>6</v>
      </c>
      <c r="F41" s="49">
        <f t="shared" si="20"/>
        <v>5</v>
      </c>
      <c r="G41" s="49">
        <f>COUNTIF(G4:G29,"&lt;=2")</f>
        <v>6</v>
      </c>
      <c r="H41" s="49">
        <f t="shared" ref="H41:AD41" si="21">COUNTIF(H4:H29,"&lt;=2")</f>
        <v>8</v>
      </c>
      <c r="I41" s="49">
        <f t="shared" si="21"/>
        <v>10</v>
      </c>
      <c r="J41" s="49">
        <f t="shared" si="21"/>
        <v>7</v>
      </c>
      <c r="K41" s="49">
        <f t="shared" si="21"/>
        <v>12</v>
      </c>
      <c r="L41" s="49">
        <f t="shared" si="21"/>
        <v>14</v>
      </c>
      <c r="M41" s="49">
        <f t="shared" si="21"/>
        <v>18</v>
      </c>
      <c r="N41" s="49">
        <f t="shared" si="21"/>
        <v>20</v>
      </c>
      <c r="O41" s="49">
        <f t="shared" si="21"/>
        <v>20</v>
      </c>
      <c r="P41" s="49">
        <f t="shared" si="21"/>
        <v>23</v>
      </c>
      <c r="Q41" s="49">
        <f t="shared" si="21"/>
        <v>21</v>
      </c>
      <c r="R41" s="49">
        <f t="shared" si="21"/>
        <v>20</v>
      </c>
      <c r="S41" s="49">
        <f t="shared" si="21"/>
        <v>21</v>
      </c>
      <c r="T41" s="49">
        <f t="shared" si="21"/>
        <v>22</v>
      </c>
      <c r="U41" s="49">
        <f t="shared" si="21"/>
        <v>23</v>
      </c>
      <c r="V41" s="49">
        <f t="shared" si="21"/>
        <v>23</v>
      </c>
      <c r="W41" s="49">
        <f t="shared" si="21"/>
        <v>23</v>
      </c>
      <c r="X41" s="49">
        <f t="shared" si="21"/>
        <v>24</v>
      </c>
      <c r="Y41" s="49">
        <f t="shared" si="21"/>
        <v>24</v>
      </c>
      <c r="Z41" s="49">
        <f t="shared" si="21"/>
        <v>25</v>
      </c>
      <c r="AA41" s="49">
        <f t="shared" ref="AA41:AB41" si="22">COUNTIF(AA4:AA29,"&lt;=2")</f>
        <v>24</v>
      </c>
      <c r="AB41" s="49">
        <f t="shared" si="22"/>
        <v>24</v>
      </c>
      <c r="AC41" s="49">
        <f t="shared" ref="AC41" si="23">COUNTIF(AC4:AC29,"&lt;=2")</f>
        <v>25</v>
      </c>
      <c r="AD41" s="49">
        <f t="shared" si="21"/>
        <v>19</v>
      </c>
      <c r="AF41" s="2">
        <f>COUNTIF(AF4:AF29,"&lt;0")</f>
        <v>10</v>
      </c>
    </row>
    <row r="42" spans="1:32" ht="22.5" x14ac:dyDescent="0.2">
      <c r="A42" s="35" t="s">
        <v>48</v>
      </c>
      <c r="B42" s="49">
        <f t="shared" ref="B42:F42" si="24">COUNTIFS(B4:B29,"&lt;=5",B4:B29,"&gt;2")</f>
        <v>2</v>
      </c>
      <c r="C42" s="49">
        <f t="shared" si="24"/>
        <v>7</v>
      </c>
      <c r="D42" s="49">
        <f t="shared" si="24"/>
        <v>7</v>
      </c>
      <c r="E42" s="49">
        <f t="shared" si="24"/>
        <v>11</v>
      </c>
      <c r="F42" s="49">
        <f t="shared" si="24"/>
        <v>10</v>
      </c>
      <c r="G42" s="49">
        <f>COUNTIFS(G4:G29,"&lt;=5",G4:G29,"&gt;2")</f>
        <v>11</v>
      </c>
      <c r="H42" s="49">
        <f t="shared" ref="H42:AD42" si="25">COUNTIFS(H4:H29,"&lt;=5",H4:H29,"&gt;2")</f>
        <v>11</v>
      </c>
      <c r="I42" s="49">
        <f t="shared" si="25"/>
        <v>10</v>
      </c>
      <c r="J42" s="49">
        <f t="shared" si="25"/>
        <v>14</v>
      </c>
      <c r="K42" s="49">
        <f t="shared" si="25"/>
        <v>10</v>
      </c>
      <c r="L42" s="49">
        <f t="shared" si="25"/>
        <v>10</v>
      </c>
      <c r="M42" s="49">
        <f t="shared" si="25"/>
        <v>7</v>
      </c>
      <c r="N42" s="49">
        <f t="shared" si="25"/>
        <v>5</v>
      </c>
      <c r="O42" s="49">
        <f t="shared" si="25"/>
        <v>5</v>
      </c>
      <c r="P42" s="49">
        <f t="shared" si="25"/>
        <v>2</v>
      </c>
      <c r="Q42" s="49">
        <f t="shared" si="25"/>
        <v>2</v>
      </c>
      <c r="R42" s="49">
        <f t="shared" si="25"/>
        <v>3</v>
      </c>
      <c r="S42" s="49">
        <f t="shared" si="25"/>
        <v>3</v>
      </c>
      <c r="T42" s="49">
        <f t="shared" si="25"/>
        <v>3</v>
      </c>
      <c r="U42" s="49">
        <f t="shared" si="25"/>
        <v>2</v>
      </c>
      <c r="V42" s="49">
        <f t="shared" si="25"/>
        <v>2</v>
      </c>
      <c r="W42" s="49">
        <f t="shared" si="25"/>
        <v>2</v>
      </c>
      <c r="X42" s="49">
        <f t="shared" si="25"/>
        <v>1</v>
      </c>
      <c r="Y42" s="49">
        <f t="shared" si="25"/>
        <v>1</v>
      </c>
      <c r="Z42" s="49">
        <f t="shared" si="25"/>
        <v>1</v>
      </c>
      <c r="AA42" s="49">
        <f t="shared" ref="AA42:AB42" si="26">COUNTIFS(AA4:AA29,"&lt;=5",AA4:AA29,"&gt;2")</f>
        <v>2</v>
      </c>
      <c r="AB42" s="49">
        <f t="shared" si="26"/>
        <v>2</v>
      </c>
      <c r="AC42" s="49">
        <f t="shared" ref="AC42" si="27">COUNTIFS(AC4:AC29,"&lt;=5",AC4:AC29,"&gt;2")</f>
        <v>0</v>
      </c>
      <c r="AD42" s="49">
        <f t="shared" si="25"/>
        <v>6</v>
      </c>
      <c r="AF42" s="2" t="s">
        <v>28</v>
      </c>
    </row>
    <row r="43" spans="1:32" ht="22.5" x14ac:dyDescent="0.2">
      <c r="A43" s="35" t="s">
        <v>49</v>
      </c>
      <c r="B43" s="49">
        <f t="shared" ref="B43:F43" si="28">COUNTIFS(B4:B29,"&lt;=8",B4:B29,"&gt;5")</f>
        <v>3</v>
      </c>
      <c r="C43" s="49">
        <f t="shared" si="28"/>
        <v>3</v>
      </c>
      <c r="D43" s="49">
        <f t="shared" si="28"/>
        <v>4</v>
      </c>
      <c r="E43" s="49">
        <f t="shared" si="28"/>
        <v>3</v>
      </c>
      <c r="F43" s="49">
        <f t="shared" si="28"/>
        <v>4</v>
      </c>
      <c r="G43" s="49">
        <f>COUNTIFS(G4:G29,"&lt;=8",G4:G29,"&gt;5")</f>
        <v>4</v>
      </c>
      <c r="H43" s="49">
        <f t="shared" ref="H43:AD43" si="29">COUNTIFS(H4:H29,"&lt;=8",H4:H29,"&gt;5")</f>
        <v>3</v>
      </c>
      <c r="I43" s="49">
        <f t="shared" si="29"/>
        <v>3</v>
      </c>
      <c r="J43" s="49">
        <f t="shared" si="29"/>
        <v>2</v>
      </c>
      <c r="K43" s="49">
        <f t="shared" si="29"/>
        <v>3</v>
      </c>
      <c r="L43" s="49">
        <f t="shared" si="29"/>
        <v>2</v>
      </c>
      <c r="M43" s="49">
        <f t="shared" si="29"/>
        <v>1</v>
      </c>
      <c r="N43" s="49">
        <f t="shared" si="29"/>
        <v>1</v>
      </c>
      <c r="O43" s="49">
        <f t="shared" si="29"/>
        <v>1</v>
      </c>
      <c r="P43" s="49">
        <f t="shared" si="29"/>
        <v>1</v>
      </c>
      <c r="Q43" s="49">
        <f t="shared" si="29"/>
        <v>1</v>
      </c>
      <c r="R43" s="49">
        <f t="shared" si="29"/>
        <v>0</v>
      </c>
      <c r="S43" s="49">
        <f t="shared" si="29"/>
        <v>0</v>
      </c>
      <c r="T43" s="49">
        <f t="shared" si="29"/>
        <v>0</v>
      </c>
      <c r="U43" s="49">
        <f t="shared" si="29"/>
        <v>0</v>
      </c>
      <c r="V43" s="49">
        <f t="shared" si="29"/>
        <v>0</v>
      </c>
      <c r="W43" s="49">
        <f t="shared" si="29"/>
        <v>0</v>
      </c>
      <c r="X43" s="49">
        <f t="shared" si="29"/>
        <v>0</v>
      </c>
      <c r="Y43" s="49">
        <f t="shared" si="29"/>
        <v>0</v>
      </c>
      <c r="Z43" s="49">
        <f t="shared" si="29"/>
        <v>0</v>
      </c>
      <c r="AA43" s="49">
        <f t="shared" ref="AA43:AB43" si="30">COUNTIFS(AA4:AA29,"&lt;=8",AA4:AA29,"&gt;5")</f>
        <v>0</v>
      </c>
      <c r="AB43" s="49">
        <f t="shared" si="30"/>
        <v>0</v>
      </c>
      <c r="AC43" s="49">
        <f t="shared" ref="AC43" si="31">COUNTIFS(AC4:AC29,"&lt;=8",AC4:AC29,"&gt;5")</f>
        <v>0</v>
      </c>
      <c r="AD43" s="49">
        <f t="shared" si="29"/>
        <v>1</v>
      </c>
    </row>
    <row r="44" spans="1:32" ht="22.5" x14ac:dyDescent="0.2">
      <c r="A44" s="35" t="s">
        <v>50</v>
      </c>
      <c r="B44" s="34">
        <f t="shared" ref="B44:F44" si="32">COUNTIFS(B4:B29,"&gt;8")</f>
        <v>2</v>
      </c>
      <c r="C44" s="34">
        <f t="shared" si="32"/>
        <v>2</v>
      </c>
      <c r="D44" s="34">
        <f t="shared" si="32"/>
        <v>1</v>
      </c>
      <c r="E44" s="34">
        <f t="shared" si="32"/>
        <v>1</v>
      </c>
      <c r="F44" s="34">
        <f t="shared" si="32"/>
        <v>1</v>
      </c>
      <c r="G44" s="34">
        <f>COUNTIFS(G4:G29,"&gt;8")</f>
        <v>1</v>
      </c>
      <c r="H44" s="34">
        <f t="shared" ref="H44:AD44" si="33">COUNTIFS(H4:H29,"&gt;8")</f>
        <v>1</v>
      </c>
      <c r="I44" s="34">
        <f t="shared" si="33"/>
        <v>1</v>
      </c>
      <c r="J44" s="34">
        <f t="shared" si="33"/>
        <v>0</v>
      </c>
      <c r="K44" s="34">
        <f t="shared" si="33"/>
        <v>0</v>
      </c>
      <c r="L44" s="34">
        <f t="shared" si="33"/>
        <v>0</v>
      </c>
      <c r="M44" s="34">
        <f t="shared" si="33"/>
        <v>0</v>
      </c>
      <c r="N44" s="34">
        <f t="shared" si="33"/>
        <v>0</v>
      </c>
      <c r="O44" s="34">
        <f t="shared" si="33"/>
        <v>0</v>
      </c>
      <c r="P44" s="34">
        <f t="shared" si="33"/>
        <v>0</v>
      </c>
      <c r="Q44" s="34">
        <f t="shared" si="33"/>
        <v>0</v>
      </c>
      <c r="R44" s="34">
        <f t="shared" si="33"/>
        <v>0</v>
      </c>
      <c r="S44" s="34">
        <f t="shared" si="33"/>
        <v>0</v>
      </c>
      <c r="T44" s="34">
        <f t="shared" si="33"/>
        <v>0</v>
      </c>
      <c r="U44" s="34">
        <f t="shared" si="33"/>
        <v>0</v>
      </c>
      <c r="V44" s="34">
        <f t="shared" si="33"/>
        <v>0</v>
      </c>
      <c r="W44" s="34">
        <f t="shared" si="33"/>
        <v>0</v>
      </c>
      <c r="X44" s="34">
        <f t="shared" si="33"/>
        <v>0</v>
      </c>
      <c r="Y44" s="34">
        <f t="shared" si="33"/>
        <v>0</v>
      </c>
      <c r="Z44" s="34">
        <f t="shared" si="33"/>
        <v>0</v>
      </c>
      <c r="AA44" s="34">
        <f t="shared" ref="AA44:AB44" si="34">COUNTIFS(AA4:AA29,"&gt;8")</f>
        <v>0</v>
      </c>
      <c r="AB44" s="34">
        <f t="shared" si="34"/>
        <v>0</v>
      </c>
      <c r="AC44" s="34">
        <f t="shared" ref="AC44" si="35">COUNTIFS(AC4:AC29,"&gt;8")</f>
        <v>0</v>
      </c>
      <c r="AD44" s="34">
        <f t="shared" si="33"/>
        <v>0</v>
      </c>
    </row>
    <row r="45" spans="1:32" x14ac:dyDescent="0.2">
      <c r="A45" s="2" t="s">
        <v>39</v>
      </c>
      <c r="B45" s="34">
        <f>COUNTIF(B4:B29,"&lt;=0")+COUNTIF(B4:B29,"&gt;0")</f>
        <v>14</v>
      </c>
      <c r="C45" s="34">
        <f t="shared" ref="C45:Q45" si="36">COUNTIF(C4:C29,"&lt;=0")+COUNTIF(C4:C29,"&gt;0")</f>
        <v>17</v>
      </c>
      <c r="D45" s="34">
        <f t="shared" si="36"/>
        <v>18</v>
      </c>
      <c r="E45" s="34">
        <f t="shared" si="36"/>
        <v>21</v>
      </c>
      <c r="F45" s="34">
        <f t="shared" si="36"/>
        <v>20</v>
      </c>
      <c r="G45" s="34">
        <f t="shared" si="36"/>
        <v>22</v>
      </c>
      <c r="H45" s="34">
        <f t="shared" si="36"/>
        <v>23</v>
      </c>
      <c r="I45" s="34">
        <f t="shared" si="36"/>
        <v>24</v>
      </c>
      <c r="J45" s="34">
        <f t="shared" si="36"/>
        <v>23</v>
      </c>
      <c r="K45" s="34">
        <f t="shared" si="36"/>
        <v>25</v>
      </c>
      <c r="L45" s="34">
        <f t="shared" si="36"/>
        <v>26</v>
      </c>
      <c r="M45" s="34">
        <f t="shared" si="36"/>
        <v>26</v>
      </c>
      <c r="N45" s="34">
        <f t="shared" si="36"/>
        <v>26</v>
      </c>
      <c r="O45" s="34">
        <f t="shared" si="36"/>
        <v>26</v>
      </c>
      <c r="P45" s="34">
        <f t="shared" si="36"/>
        <v>26</v>
      </c>
      <c r="Q45" s="34">
        <f t="shared" si="36"/>
        <v>24</v>
      </c>
      <c r="R45" s="34">
        <f t="shared" ref="R45:AD45" si="37">COUNTIF(R4:R29,"&lt;=0")+COUNTIF(R4:R29,"&gt;0")</f>
        <v>23</v>
      </c>
      <c r="S45" s="34">
        <f t="shared" si="37"/>
        <v>24</v>
      </c>
      <c r="T45" s="34">
        <f t="shared" si="37"/>
        <v>25</v>
      </c>
      <c r="U45" s="34">
        <f t="shared" si="37"/>
        <v>25</v>
      </c>
      <c r="V45" s="34">
        <f t="shared" si="37"/>
        <v>25</v>
      </c>
      <c r="W45" s="34">
        <f t="shared" si="37"/>
        <v>25</v>
      </c>
      <c r="X45" s="34">
        <f t="shared" ref="X45:Y45" si="38">COUNTIF(X4:X29,"&lt;=0")+COUNTIF(X4:X29,"&gt;0")</f>
        <v>25</v>
      </c>
      <c r="Y45" s="34">
        <f t="shared" si="38"/>
        <v>25</v>
      </c>
      <c r="Z45" s="34">
        <f t="shared" ref="Z45:AA45" si="39">COUNTIF(Z4:Z29,"&lt;=0")+COUNTIF(Z4:Z29,"&gt;0")</f>
        <v>26</v>
      </c>
      <c r="AA45" s="34">
        <f t="shared" si="39"/>
        <v>26</v>
      </c>
      <c r="AB45" s="34">
        <f t="shared" ref="AB45:AC45" si="40">COUNTIF(AB4:AB29,"&lt;=0")+COUNTIF(AB4:AB29,"&gt;0")</f>
        <v>26</v>
      </c>
      <c r="AC45" s="34">
        <f t="shared" si="40"/>
        <v>25</v>
      </c>
      <c r="AD45" s="34">
        <f t="shared" si="37"/>
        <v>26</v>
      </c>
    </row>
    <row r="46" spans="1:32" ht="15" customHeight="1" x14ac:dyDescent="0.2"/>
  </sheetData>
  <autoFilter ref="A3:AD29"/>
  <phoneticPr fontId="4" type="noConversion"/>
  <conditionalFormatting sqref="B45:W45 AD45">
    <cfRule type="cellIs" dxfId="24" priority="5" stopIfTrue="1" operator="notEqual">
      <formula>SUM(B41:B44)</formula>
    </cfRule>
  </conditionalFormatting>
  <conditionalFormatting sqref="C36:U36 AD36">
    <cfRule type="expression" dxfId="23" priority="3">
      <formula>OR(D36&lt;&gt;0,D36=0)</formula>
    </cfRule>
  </conditionalFormatting>
  <conditionalFormatting sqref="V36:W36">
    <cfRule type="expression" dxfId="22" priority="9">
      <formula>OR(AD36&lt;&gt;0,AD36=0)</formula>
    </cfRule>
  </conditionalFormatting>
  <conditionalFormatting sqref="X45:AC45">
    <cfRule type="cellIs" dxfId="21" priority="1" stopIfTrue="1" operator="notEqual">
      <formula>SUM(X41:X44)</formula>
    </cfRule>
  </conditionalFormatting>
  <conditionalFormatting sqref="X36:AC36">
    <cfRule type="expression" dxfId="20" priority="2">
      <formula>OR(AF36&lt;&gt;0,AF36=0)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&amp;CZinsbelastungsanteil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7" r:id="rId4" name="Group Box 47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zoomScaleNormal="100" workbookViewId="0">
      <pane ySplit="2" topLeftCell="A24" activePane="bottomLeft" state="frozen"/>
      <selection pane="bottomLeft" activeCell="Z33" sqref="Z33"/>
    </sheetView>
  </sheetViews>
  <sheetFormatPr baseColWidth="10" defaultColWidth="11.42578125" defaultRowHeight="11.25" x14ac:dyDescent="0.2"/>
  <cols>
    <col min="1" max="1" width="15.7109375" style="2" customWidth="1"/>
    <col min="2" max="9" width="6.7109375" style="2" hidden="1" customWidth="1"/>
    <col min="10" max="30" width="6.7109375" style="2" customWidth="1"/>
    <col min="31" max="16384" width="11.42578125" style="2"/>
  </cols>
  <sheetData>
    <row r="1" spans="1:32" ht="15" customHeight="1" x14ac:dyDescent="0.2">
      <c r="A1" s="1" t="s">
        <v>32</v>
      </c>
      <c r="B1" s="28" t="s">
        <v>51</v>
      </c>
      <c r="C1" s="28" t="s">
        <v>51</v>
      </c>
      <c r="D1" s="28" t="s">
        <v>51</v>
      </c>
      <c r="E1" s="28" t="s">
        <v>51</v>
      </c>
      <c r="F1" s="28" t="s">
        <v>51</v>
      </c>
      <c r="G1" s="28" t="s">
        <v>51</v>
      </c>
      <c r="H1" s="28" t="s">
        <v>51</v>
      </c>
      <c r="I1" s="28" t="s">
        <v>51</v>
      </c>
      <c r="J1" s="28" t="s">
        <v>51</v>
      </c>
      <c r="K1" s="28" t="s">
        <v>51</v>
      </c>
      <c r="L1" s="28" t="s">
        <v>51</v>
      </c>
      <c r="M1" s="28" t="s">
        <v>51</v>
      </c>
      <c r="N1" s="28" t="s">
        <v>51</v>
      </c>
      <c r="O1" s="28" t="s">
        <v>51</v>
      </c>
      <c r="P1" s="28" t="s">
        <v>51</v>
      </c>
      <c r="Q1" s="28" t="s">
        <v>51</v>
      </c>
      <c r="R1" s="28" t="s">
        <v>51</v>
      </c>
      <c r="S1" s="28" t="s">
        <v>51</v>
      </c>
      <c r="T1" s="28" t="s">
        <v>51</v>
      </c>
      <c r="U1" s="28" t="s">
        <v>51</v>
      </c>
      <c r="V1" s="28" t="s">
        <v>51</v>
      </c>
      <c r="W1" s="28" t="s">
        <v>51</v>
      </c>
      <c r="X1" s="28" t="s">
        <v>51</v>
      </c>
      <c r="Y1" s="28" t="s">
        <v>51</v>
      </c>
      <c r="Z1" s="28" t="s">
        <v>51</v>
      </c>
      <c r="AA1" s="28" t="s">
        <v>51</v>
      </c>
      <c r="AB1" s="28" t="s">
        <v>51</v>
      </c>
      <c r="AC1" s="28" t="s">
        <v>51</v>
      </c>
      <c r="AD1" s="28" t="s">
        <v>51</v>
      </c>
    </row>
    <row r="2" spans="1:32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 t="s">
        <v>85</v>
      </c>
      <c r="AF2" s="45" t="str">
        <f>'Degré d''autofinancement'!AF2</f>
        <v>2018-15</v>
      </c>
    </row>
    <row r="3" spans="1:32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0"/>
    </row>
    <row r="4" spans="1:32" ht="15" customHeight="1" x14ac:dyDescent="0.2">
      <c r="A4" s="4" t="s">
        <v>0</v>
      </c>
      <c r="B4" s="5">
        <v>13.3</v>
      </c>
      <c r="C4" s="5">
        <v>14.8</v>
      </c>
      <c r="D4" s="5">
        <v>16</v>
      </c>
      <c r="E4" s="5">
        <v>17.5</v>
      </c>
      <c r="F4" s="5">
        <v>16.7</v>
      </c>
      <c r="G4" s="5">
        <v>15.2</v>
      </c>
      <c r="H4" s="5">
        <v>14.3</v>
      </c>
      <c r="I4" s="5">
        <v>13.2</v>
      </c>
      <c r="J4" s="5">
        <v>12.1</v>
      </c>
      <c r="K4" s="5">
        <v>11.2</v>
      </c>
      <c r="L4" s="5">
        <v>9.5</v>
      </c>
      <c r="M4" s="5">
        <v>10</v>
      </c>
      <c r="N4" s="5">
        <v>9.4</v>
      </c>
      <c r="O4" s="6">
        <v>7.5</v>
      </c>
      <c r="P4" s="6">
        <v>5.4</v>
      </c>
      <c r="Q4" s="6">
        <v>4.8</v>
      </c>
      <c r="R4" s="6">
        <v>7.1</v>
      </c>
      <c r="S4" s="6">
        <v>6.6</v>
      </c>
      <c r="T4" s="6">
        <v>6</v>
      </c>
      <c r="U4" s="6">
        <v>5.6</v>
      </c>
      <c r="V4" s="6">
        <v>4.9000000000000004</v>
      </c>
      <c r="W4" s="6">
        <v>4.2</v>
      </c>
      <c r="X4" s="6">
        <v>3.9</v>
      </c>
      <c r="Y4" s="6">
        <v>7.1</v>
      </c>
      <c r="Z4" s="6">
        <v>7.6</v>
      </c>
      <c r="AA4" s="6">
        <v>7.9</v>
      </c>
      <c r="AB4" s="6">
        <v>7.9</v>
      </c>
      <c r="AC4" s="6">
        <v>8.1999999999999993</v>
      </c>
      <c r="AD4" s="31">
        <f>AVERAGE(B4:AC4)</f>
        <v>9.5678571428571413</v>
      </c>
      <c r="AF4" s="25">
        <f>Z4-AC4</f>
        <v>-0.59999999999999964</v>
      </c>
    </row>
    <row r="5" spans="1:32" ht="15" customHeight="1" x14ac:dyDescent="0.2">
      <c r="A5" s="22" t="s">
        <v>2</v>
      </c>
      <c r="B5" s="23"/>
      <c r="C5" s="23"/>
      <c r="D5" s="23"/>
      <c r="E5" s="23">
        <v>14.6</v>
      </c>
      <c r="F5" s="23">
        <v>16.399999999999999</v>
      </c>
      <c r="G5" s="23">
        <v>16.899999999999999</v>
      </c>
      <c r="H5" s="23">
        <v>16.8</v>
      </c>
      <c r="I5" s="23">
        <v>15.8</v>
      </c>
      <c r="J5" s="23">
        <v>13.8</v>
      </c>
      <c r="K5" s="23">
        <v>13.7</v>
      </c>
      <c r="L5" s="23">
        <v>13.6</v>
      </c>
      <c r="M5" s="23">
        <v>12.3</v>
      </c>
      <c r="N5" s="23">
        <v>14.6</v>
      </c>
      <c r="O5" s="23">
        <v>14.9</v>
      </c>
      <c r="P5" s="23">
        <v>14.4</v>
      </c>
      <c r="Q5" s="23">
        <v>13.2</v>
      </c>
      <c r="R5" s="23">
        <v>12.5</v>
      </c>
      <c r="S5" s="23">
        <v>12.1</v>
      </c>
      <c r="T5" s="23">
        <v>10.7</v>
      </c>
      <c r="U5" s="23">
        <v>11.5</v>
      </c>
      <c r="V5" s="23">
        <v>10.7</v>
      </c>
      <c r="W5" s="23">
        <v>9.4</v>
      </c>
      <c r="X5" s="23">
        <v>8.6999999999999993</v>
      </c>
      <c r="Y5" s="23">
        <v>5.2</v>
      </c>
      <c r="Z5" s="23">
        <v>5</v>
      </c>
      <c r="AA5" s="23">
        <v>4.9000000000000004</v>
      </c>
      <c r="AB5" s="23">
        <v>4.5999999999999996</v>
      </c>
      <c r="AC5" s="23">
        <v>4.5</v>
      </c>
      <c r="AD5" s="31">
        <f t="shared" ref="AD5:AD29" si="3">AVERAGE(B5:AC5)</f>
        <v>11.631999999999998</v>
      </c>
      <c r="AF5" s="25">
        <f t="shared" ref="AF5:AF29" si="4">Z5-AC5</f>
        <v>0.5</v>
      </c>
    </row>
    <row r="6" spans="1:32" ht="15" customHeight="1" x14ac:dyDescent="0.2">
      <c r="A6" s="4" t="s">
        <v>4</v>
      </c>
      <c r="B6" s="5"/>
      <c r="C6" s="5">
        <v>20.7</v>
      </c>
      <c r="D6" s="5">
        <v>18.3</v>
      </c>
      <c r="E6" s="5">
        <v>23</v>
      </c>
      <c r="F6" s="5">
        <v>23.9</v>
      </c>
      <c r="G6" s="5">
        <v>20.6</v>
      </c>
      <c r="H6" s="5">
        <v>15.5</v>
      </c>
      <c r="I6" s="5">
        <v>10.7</v>
      </c>
      <c r="J6" s="5">
        <v>10.8</v>
      </c>
      <c r="K6" s="5">
        <v>22.1</v>
      </c>
      <c r="L6" s="5">
        <v>13.8</v>
      </c>
      <c r="M6" s="5">
        <v>17.3</v>
      </c>
      <c r="N6" s="5">
        <v>16.2</v>
      </c>
      <c r="O6" s="6">
        <v>15.9</v>
      </c>
      <c r="P6" s="6">
        <v>15.1</v>
      </c>
      <c r="Q6" s="5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>
        <v>1.02</v>
      </c>
      <c r="AA6" s="6">
        <v>2.4</v>
      </c>
      <c r="AB6" s="6">
        <v>2.2599999999999998</v>
      </c>
      <c r="AC6" s="6">
        <v>3.23</v>
      </c>
      <c r="AD6" s="31">
        <f t="shared" si="3"/>
        <v>14.045</v>
      </c>
      <c r="AF6" s="25">
        <f t="shared" si="4"/>
        <v>-2.21</v>
      </c>
    </row>
    <row r="7" spans="1:32" ht="15" customHeight="1" x14ac:dyDescent="0.2">
      <c r="A7" s="22" t="s">
        <v>5</v>
      </c>
      <c r="B7" s="23"/>
      <c r="C7" s="23">
        <v>5</v>
      </c>
      <c r="D7" s="23">
        <v>6</v>
      </c>
      <c r="E7" s="23">
        <v>6</v>
      </c>
      <c r="F7" s="23">
        <v>6</v>
      </c>
      <c r="G7" s="23">
        <v>6</v>
      </c>
      <c r="H7" s="23">
        <v>6</v>
      </c>
      <c r="I7" s="23">
        <v>5</v>
      </c>
      <c r="J7" s="23">
        <v>5</v>
      </c>
      <c r="K7" s="23">
        <v>2</v>
      </c>
      <c r="L7" s="23">
        <v>4.9000000000000004</v>
      </c>
      <c r="M7" s="23">
        <v>5.6</v>
      </c>
      <c r="N7" s="23">
        <v>5.7867770407541652</v>
      </c>
      <c r="O7" s="23">
        <v>5.2366326084402788</v>
      </c>
      <c r="P7" s="23">
        <v>4.0530192654956165</v>
      </c>
      <c r="Q7" s="23">
        <v>4.007237083857591</v>
      </c>
      <c r="R7" s="23">
        <v>4.4330961629960175</v>
      </c>
      <c r="S7" s="23">
        <v>3.7359045409770468</v>
      </c>
      <c r="T7" s="23">
        <v>3.3</v>
      </c>
      <c r="U7" s="23">
        <v>2.6848071339171509</v>
      </c>
      <c r="V7" s="23">
        <v>2.6848071339171509</v>
      </c>
      <c r="W7" s="23">
        <v>-1.9585672131626382</v>
      </c>
      <c r="X7" s="23">
        <v>1.3447509401317708</v>
      </c>
      <c r="Y7" s="23">
        <v>4.5999999999999996</v>
      </c>
      <c r="Z7" s="23">
        <v>4.4000000000000004</v>
      </c>
      <c r="AA7" s="23">
        <v>4.4000000000000004</v>
      </c>
      <c r="AB7" s="23">
        <v>4.4000000000000004</v>
      </c>
      <c r="AC7" s="23">
        <v>4.2</v>
      </c>
      <c r="AD7" s="31">
        <f t="shared" si="3"/>
        <v>4.2521653591601547</v>
      </c>
      <c r="AF7" s="25">
        <f t="shared" si="4"/>
        <v>0.20000000000000018</v>
      </c>
    </row>
    <row r="8" spans="1:32" ht="15" customHeight="1" x14ac:dyDescent="0.2">
      <c r="A8" s="4" t="s">
        <v>6</v>
      </c>
      <c r="B8" s="5">
        <v>5</v>
      </c>
      <c r="C8" s="5">
        <v>5.2</v>
      </c>
      <c r="D8" s="5">
        <v>3.8</v>
      </c>
      <c r="E8" s="5">
        <v>1.9</v>
      </c>
      <c r="F8" s="5">
        <v>2.7</v>
      </c>
      <c r="G8" s="5">
        <v>3.8</v>
      </c>
      <c r="H8" s="5">
        <v>5.4</v>
      </c>
      <c r="I8" s="5">
        <v>7.3</v>
      </c>
      <c r="J8" s="5">
        <v>8.4</v>
      </c>
      <c r="K8" s="5">
        <v>6.7</v>
      </c>
      <c r="L8" s="5">
        <v>7.1</v>
      </c>
      <c r="M8" s="5">
        <v>6.2</v>
      </c>
      <c r="N8" s="5">
        <v>6.5</v>
      </c>
      <c r="O8" s="6">
        <v>6.5</v>
      </c>
      <c r="P8" s="6">
        <v>10.3</v>
      </c>
      <c r="Q8" s="6">
        <v>4.9000000000000004</v>
      </c>
      <c r="R8" s="6">
        <v>2.9</v>
      </c>
      <c r="S8" s="6">
        <v>0.8</v>
      </c>
      <c r="T8" s="6">
        <v>0.4</v>
      </c>
      <c r="U8" s="6">
        <v>1.7</v>
      </c>
      <c r="V8" s="6">
        <v>1.9</v>
      </c>
      <c r="W8" s="6">
        <v>1</v>
      </c>
      <c r="X8" s="6">
        <v>-3.3</v>
      </c>
      <c r="Y8" s="6">
        <v>-2.8</v>
      </c>
      <c r="Z8" s="6">
        <v>-4.5</v>
      </c>
      <c r="AA8" s="6">
        <v>-5.4</v>
      </c>
      <c r="AB8" s="6">
        <v>-2.4</v>
      </c>
      <c r="AC8" s="6">
        <v>-2.2999999999999998</v>
      </c>
      <c r="AD8" s="31">
        <f t="shared" si="3"/>
        <v>2.846428571428572</v>
      </c>
      <c r="AF8" s="25">
        <f t="shared" si="4"/>
        <v>-2.2000000000000002</v>
      </c>
    </row>
    <row r="9" spans="1:32" ht="15" customHeight="1" x14ac:dyDescent="0.2">
      <c r="A9" s="22" t="s">
        <v>7</v>
      </c>
      <c r="B9" s="23">
        <v>8</v>
      </c>
      <c r="C9" s="23">
        <v>7.8</v>
      </c>
      <c r="D9" s="23">
        <v>7.3</v>
      </c>
      <c r="E9" s="23">
        <v>6.7</v>
      </c>
      <c r="F9" s="23">
        <v>6.3</v>
      </c>
      <c r="G9" s="23">
        <v>5.6</v>
      </c>
      <c r="H9" s="23">
        <v>6.5</v>
      </c>
      <c r="I9" s="23">
        <v>6.3</v>
      </c>
      <c r="J9" s="23">
        <v>6.2</v>
      </c>
      <c r="K9" s="23">
        <v>6.3</v>
      </c>
      <c r="L9" s="23">
        <v>8.3000000000000007</v>
      </c>
      <c r="M9" s="23">
        <v>7.8</v>
      </c>
      <c r="N9" s="23">
        <v>7</v>
      </c>
      <c r="O9" s="23">
        <v>7</v>
      </c>
      <c r="P9" s="23">
        <v>6.1</v>
      </c>
      <c r="Q9" s="23">
        <v>5.5</v>
      </c>
      <c r="R9" s="23">
        <v>6.5</v>
      </c>
      <c r="S9" s="23">
        <v>5.5</v>
      </c>
      <c r="T9" s="23">
        <v>6.25</v>
      </c>
      <c r="U9" s="23">
        <v>7.04</v>
      </c>
      <c r="V9" s="23">
        <v>5.8</v>
      </c>
      <c r="W9" s="23">
        <v>5.3</v>
      </c>
      <c r="X9" s="23">
        <v>5.0999999999999996</v>
      </c>
      <c r="Y9" s="23">
        <v>5.9</v>
      </c>
      <c r="Z9" s="23">
        <v>5.2</v>
      </c>
      <c r="AA9" s="23">
        <v>4.8</v>
      </c>
      <c r="AB9" s="23">
        <v>4.8</v>
      </c>
      <c r="AC9" s="23">
        <v>4.8</v>
      </c>
      <c r="AD9" s="31">
        <f t="shared" si="3"/>
        <v>6.2746428571428581</v>
      </c>
      <c r="AF9" s="25">
        <f t="shared" si="4"/>
        <v>0.40000000000000036</v>
      </c>
    </row>
    <row r="10" spans="1:32" ht="15" customHeight="1" x14ac:dyDescent="0.2">
      <c r="A10" s="4" t="s">
        <v>8</v>
      </c>
      <c r="B10" s="5"/>
      <c r="C10" s="5"/>
      <c r="D10" s="5"/>
      <c r="E10" s="5"/>
      <c r="F10" s="5"/>
      <c r="G10" s="5">
        <v>6</v>
      </c>
      <c r="H10" s="5">
        <v>6.2</v>
      </c>
      <c r="I10" s="5">
        <v>5.8</v>
      </c>
      <c r="J10" s="5">
        <v>7.2</v>
      </c>
      <c r="K10" s="5">
        <v>6.6</v>
      </c>
      <c r="L10" s="5">
        <v>8.8000000000000007</v>
      </c>
      <c r="M10" s="5">
        <v>8.4</v>
      </c>
      <c r="N10" s="5">
        <v>7.6</v>
      </c>
      <c r="O10" s="6">
        <v>7.3</v>
      </c>
      <c r="P10" s="6">
        <v>7.47</v>
      </c>
      <c r="Q10" s="6">
        <v>7.3</v>
      </c>
      <c r="R10" s="6">
        <v>7.5</v>
      </c>
      <c r="S10" s="6">
        <v>7.25</v>
      </c>
      <c r="T10" s="6">
        <v>6.9</v>
      </c>
      <c r="U10" s="6">
        <v>6.6</v>
      </c>
      <c r="V10" s="6">
        <v>6.14</v>
      </c>
      <c r="W10" s="6">
        <v>5.9</v>
      </c>
      <c r="X10" s="6">
        <v>5.69</v>
      </c>
      <c r="Y10" s="6">
        <v>5.73</v>
      </c>
      <c r="Z10" s="6">
        <v>5.4</v>
      </c>
      <c r="AA10" s="6">
        <v>5.4</v>
      </c>
      <c r="AB10" s="6">
        <v>5</v>
      </c>
      <c r="AC10" s="6">
        <v>4.84</v>
      </c>
      <c r="AD10" s="31">
        <f t="shared" si="3"/>
        <v>6.5660869565217395</v>
      </c>
      <c r="AF10" s="25">
        <f t="shared" si="4"/>
        <v>0.5600000000000005</v>
      </c>
    </row>
    <row r="11" spans="1:32" ht="15" customHeight="1" x14ac:dyDescent="0.2">
      <c r="A11" s="22" t="s">
        <v>9</v>
      </c>
      <c r="B11" s="23">
        <v>11.7</v>
      </c>
      <c r="C11" s="23">
        <v>11.8</v>
      </c>
      <c r="D11" s="23">
        <v>12.3</v>
      </c>
      <c r="E11" s="23">
        <v>14.4</v>
      </c>
      <c r="F11" s="23">
        <v>16.100000000000001</v>
      </c>
      <c r="G11" s="23">
        <v>18</v>
      </c>
      <c r="H11" s="23">
        <v>15.8</v>
      </c>
      <c r="I11" s="23">
        <v>16.3</v>
      </c>
      <c r="J11" s="23">
        <v>15.7</v>
      </c>
      <c r="K11" s="23">
        <v>14.3</v>
      </c>
      <c r="L11" s="23">
        <v>15.1</v>
      </c>
      <c r="M11" s="23">
        <v>14.1</v>
      </c>
      <c r="N11" s="23">
        <v>11.1</v>
      </c>
      <c r="O11" s="23">
        <v>10.3</v>
      </c>
      <c r="P11" s="23">
        <v>10.7</v>
      </c>
      <c r="Q11" s="23">
        <v>9.4</v>
      </c>
      <c r="R11" s="23">
        <v>8.6999999999999993</v>
      </c>
      <c r="S11" s="23">
        <v>7.8</v>
      </c>
      <c r="T11" s="23">
        <v>8.3000000000000007</v>
      </c>
      <c r="U11" s="23">
        <v>8.1</v>
      </c>
      <c r="V11" s="23">
        <v>9.3000000000000007</v>
      </c>
      <c r="W11" s="23">
        <v>8.3000000000000007</v>
      </c>
      <c r="X11" s="23">
        <v>7.8</v>
      </c>
      <c r="Y11" s="23">
        <v>7.6</v>
      </c>
      <c r="Z11" s="23">
        <v>8.8000000000000007</v>
      </c>
      <c r="AA11" s="23">
        <v>7.5</v>
      </c>
      <c r="AB11" s="23">
        <v>9.6</v>
      </c>
      <c r="AC11" s="23">
        <v>10</v>
      </c>
      <c r="AD11" s="31">
        <f t="shared" si="3"/>
        <v>11.389285714285718</v>
      </c>
      <c r="AF11" s="25">
        <f t="shared" si="4"/>
        <v>-1.1999999999999993</v>
      </c>
    </row>
    <row r="12" spans="1:32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6</v>
      </c>
      <c r="I12" s="5">
        <v>5.4</v>
      </c>
      <c r="J12" s="5"/>
      <c r="K12" s="5">
        <v>7.7</v>
      </c>
      <c r="L12" s="5">
        <v>8.4</v>
      </c>
      <c r="M12" s="5">
        <v>9.9</v>
      </c>
      <c r="N12" s="5">
        <v>6</v>
      </c>
      <c r="O12" s="6">
        <v>6.9</v>
      </c>
      <c r="P12" s="6">
        <v>6.8</v>
      </c>
      <c r="Q12" s="6">
        <v>7</v>
      </c>
      <c r="R12" s="6">
        <v>6.1</v>
      </c>
      <c r="S12" s="6">
        <v>7.6</v>
      </c>
      <c r="T12" s="6">
        <v>7.4</v>
      </c>
      <c r="U12" s="6">
        <v>6</v>
      </c>
      <c r="V12" s="6">
        <v>13.4</v>
      </c>
      <c r="W12" s="6">
        <v>11.8</v>
      </c>
      <c r="X12" s="6">
        <v>10.8</v>
      </c>
      <c r="Y12" s="6">
        <v>9</v>
      </c>
      <c r="Z12" s="6">
        <v>9.3000000000000007</v>
      </c>
      <c r="AA12" s="6">
        <v>7.6</v>
      </c>
      <c r="AB12" s="6">
        <v>9</v>
      </c>
      <c r="AC12" s="6">
        <v>7.9</v>
      </c>
      <c r="AD12" s="31">
        <f t="shared" si="3"/>
        <v>8.0952380952380949</v>
      </c>
      <c r="AF12" s="25">
        <f t="shared" si="4"/>
        <v>1.4000000000000004</v>
      </c>
    </row>
    <row r="13" spans="1:32" ht="15" customHeight="1" x14ac:dyDescent="0.2">
      <c r="A13" s="22" t="s">
        <v>11</v>
      </c>
      <c r="B13" s="23"/>
      <c r="C13" s="23"/>
      <c r="D13" s="23"/>
      <c r="E13" s="23">
        <v>10.6</v>
      </c>
      <c r="F13" s="23">
        <v>10.6</v>
      </c>
      <c r="G13" s="23">
        <v>10.1</v>
      </c>
      <c r="H13" s="23">
        <v>11.3</v>
      </c>
      <c r="I13" s="23">
        <v>10.7</v>
      </c>
      <c r="J13" s="23">
        <v>10.5</v>
      </c>
      <c r="K13" s="23">
        <v>10.6</v>
      </c>
      <c r="L13" s="23">
        <v>10.4</v>
      </c>
      <c r="M13" s="23">
        <v>9.6</v>
      </c>
      <c r="N13" s="23">
        <v>9</v>
      </c>
      <c r="O13" s="23">
        <v>8.8000000000000007</v>
      </c>
      <c r="P13" s="23">
        <v>7.9</v>
      </c>
      <c r="Q13" s="23">
        <v>7.6</v>
      </c>
      <c r="R13" s="23">
        <v>7.22</v>
      </c>
      <c r="S13" s="23">
        <v>6.85</v>
      </c>
      <c r="T13" s="23">
        <v>6.22</v>
      </c>
      <c r="U13" s="23">
        <v>6.4</v>
      </c>
      <c r="V13" s="23">
        <v>6.2</v>
      </c>
      <c r="W13" s="23">
        <v>5.8</v>
      </c>
      <c r="X13" s="23">
        <v>5.8</v>
      </c>
      <c r="Y13" s="23">
        <v>6.26</v>
      </c>
      <c r="Z13" s="23">
        <v>9.16</v>
      </c>
      <c r="AA13" s="23">
        <v>9.93</v>
      </c>
      <c r="AB13" s="23">
        <v>9.25</v>
      </c>
      <c r="AC13" s="23">
        <v>10.52</v>
      </c>
      <c r="AD13" s="31">
        <f t="shared" si="3"/>
        <v>8.6923999999999992</v>
      </c>
      <c r="AF13" s="25">
        <f t="shared" si="4"/>
        <v>-1.3599999999999994</v>
      </c>
    </row>
    <row r="14" spans="1:32" ht="15" customHeight="1" x14ac:dyDescent="0.2">
      <c r="A14" s="4" t="s">
        <v>12</v>
      </c>
      <c r="B14" s="5">
        <v>18.7</v>
      </c>
      <c r="C14" s="5">
        <v>19.7</v>
      </c>
      <c r="D14" s="5">
        <v>20.399999999999999</v>
      </c>
      <c r="E14" s="5">
        <v>20.2</v>
      </c>
      <c r="F14" s="5">
        <v>14.8</v>
      </c>
      <c r="G14" s="5"/>
      <c r="H14" s="5">
        <v>15.3</v>
      </c>
      <c r="I14" s="5">
        <v>15.3</v>
      </c>
      <c r="J14" s="5">
        <v>14.5</v>
      </c>
      <c r="K14" s="5">
        <v>13.7</v>
      </c>
      <c r="L14" s="5">
        <v>14.6</v>
      </c>
      <c r="M14" s="5">
        <v>13.6</v>
      </c>
      <c r="N14" s="5">
        <v>13.1</v>
      </c>
      <c r="O14" s="6">
        <v>13</v>
      </c>
      <c r="P14" s="6">
        <v>15.1</v>
      </c>
      <c r="Q14" s="6">
        <v>38.9</v>
      </c>
      <c r="R14" s="6">
        <v>15.3</v>
      </c>
      <c r="S14" s="6">
        <v>12.7</v>
      </c>
      <c r="T14" s="6">
        <v>12.04</v>
      </c>
      <c r="U14" s="6">
        <v>11.51</v>
      </c>
      <c r="V14" s="6">
        <v>11.23</v>
      </c>
      <c r="W14" s="6">
        <v>10.52</v>
      </c>
      <c r="X14" s="6">
        <v>10.41</v>
      </c>
      <c r="Y14" s="6">
        <v>9.5299999999999994</v>
      </c>
      <c r="Z14" s="6">
        <v>8.1999999999999993</v>
      </c>
      <c r="AA14" s="6">
        <v>8.0299999999999994</v>
      </c>
      <c r="AB14" s="6">
        <v>8.6999999999999993</v>
      </c>
      <c r="AC14" s="6">
        <v>5.57</v>
      </c>
      <c r="AD14" s="31">
        <f t="shared" si="3"/>
        <v>14.245925925925921</v>
      </c>
      <c r="AF14" s="25">
        <f t="shared" si="4"/>
        <v>2.629999999999999</v>
      </c>
    </row>
    <row r="15" spans="1:32" ht="15" customHeight="1" x14ac:dyDescent="0.2">
      <c r="A15" s="22" t="s">
        <v>13</v>
      </c>
      <c r="B15" s="23"/>
      <c r="C15" s="23">
        <v>8.4</v>
      </c>
      <c r="D15" s="23">
        <v>9</v>
      </c>
      <c r="E15" s="23">
        <v>7.6</v>
      </c>
      <c r="F15" s="23">
        <v>6.9</v>
      </c>
      <c r="G15" s="23">
        <v>7.4</v>
      </c>
      <c r="H15" s="23">
        <v>6.6</v>
      </c>
      <c r="I15" s="23">
        <v>6.6</v>
      </c>
      <c r="J15" s="23">
        <v>6.2</v>
      </c>
      <c r="K15" s="23">
        <v>5.7</v>
      </c>
      <c r="L15" s="23">
        <v>6.4</v>
      </c>
      <c r="M15" s="23">
        <v>6.4</v>
      </c>
      <c r="N15" s="23">
        <v>5.7</v>
      </c>
      <c r="O15" s="23">
        <v>5.3</v>
      </c>
      <c r="P15" s="23">
        <v>4.5999999999999996</v>
      </c>
      <c r="Q15" s="23">
        <v>4.24</v>
      </c>
      <c r="R15" s="23">
        <v>3.2</v>
      </c>
      <c r="S15" s="23">
        <v>2.8</v>
      </c>
      <c r="T15" s="23">
        <v>2.64</v>
      </c>
      <c r="U15" s="23">
        <v>2.19</v>
      </c>
      <c r="V15" s="23">
        <v>2.38</v>
      </c>
      <c r="W15" s="23">
        <v>2.31</v>
      </c>
      <c r="X15" s="23">
        <v>1.6</v>
      </c>
      <c r="Y15" s="23">
        <v>1.7</v>
      </c>
      <c r="Z15" s="23">
        <v>1.8</v>
      </c>
      <c r="AA15" s="23">
        <v>1.76</v>
      </c>
      <c r="AB15" s="23">
        <v>2.09</v>
      </c>
      <c r="AC15" s="23" t="s">
        <v>1</v>
      </c>
      <c r="AD15" s="31">
        <f t="shared" si="3"/>
        <v>4.673461538461539</v>
      </c>
      <c r="AF15" s="25" t="e">
        <f t="shared" si="4"/>
        <v>#VALUE!</v>
      </c>
    </row>
    <row r="16" spans="1:32" ht="15" customHeight="1" x14ac:dyDescent="0.2">
      <c r="A16" s="4" t="s">
        <v>14</v>
      </c>
      <c r="B16" s="5">
        <v>6.1</v>
      </c>
      <c r="C16" s="5">
        <v>7.5</v>
      </c>
      <c r="D16" s="5">
        <v>7.7</v>
      </c>
      <c r="E16" s="5">
        <v>7.2</v>
      </c>
      <c r="F16" s="5">
        <v>8.1999999999999993</v>
      </c>
      <c r="G16" s="5">
        <v>8.1</v>
      </c>
      <c r="H16" s="5">
        <v>8.1</v>
      </c>
      <c r="I16" s="5">
        <v>8</v>
      </c>
      <c r="J16" s="5">
        <v>7.9</v>
      </c>
      <c r="K16" s="5">
        <v>7.1</v>
      </c>
      <c r="L16" s="5">
        <v>7.5</v>
      </c>
      <c r="M16" s="5">
        <v>7.4</v>
      </c>
      <c r="N16" s="5">
        <v>6</v>
      </c>
      <c r="O16" s="6">
        <v>7.1</v>
      </c>
      <c r="P16" s="6">
        <v>7.8</v>
      </c>
      <c r="Q16" s="6">
        <v>8.4</v>
      </c>
      <c r="R16" s="6">
        <v>5.5</v>
      </c>
      <c r="S16" s="6">
        <v>5.0999999999999996</v>
      </c>
      <c r="T16" s="6">
        <v>5.4</v>
      </c>
      <c r="U16" s="6">
        <v>4.9000000000000004</v>
      </c>
      <c r="V16" s="6">
        <v>4.4000000000000004</v>
      </c>
      <c r="W16" s="6">
        <v>3.3</v>
      </c>
      <c r="X16" s="6">
        <v>3.5</v>
      </c>
      <c r="Y16" s="6">
        <v>4</v>
      </c>
      <c r="Z16" s="6">
        <v>4.5</v>
      </c>
      <c r="AA16" s="6">
        <v>10.5</v>
      </c>
      <c r="AB16" s="6">
        <v>11.3</v>
      </c>
      <c r="AC16" s="6">
        <v>11.1</v>
      </c>
      <c r="AD16" s="31">
        <f t="shared" si="3"/>
        <v>6.9142857142857164</v>
      </c>
      <c r="AF16" s="25">
        <f t="shared" si="4"/>
        <v>-6.6</v>
      </c>
    </row>
    <row r="17" spans="1:32" ht="15" customHeight="1" x14ac:dyDescent="0.2">
      <c r="A17" s="22" t="s">
        <v>15</v>
      </c>
      <c r="B17" s="23"/>
      <c r="C17" s="23"/>
      <c r="D17" s="23">
        <v>15.8</v>
      </c>
      <c r="E17" s="23">
        <v>14.1</v>
      </c>
      <c r="F17" s="23"/>
      <c r="G17" s="23"/>
      <c r="H17" s="23"/>
      <c r="I17" s="23"/>
      <c r="J17" s="23"/>
      <c r="K17" s="23"/>
      <c r="L17" s="23">
        <v>9.1999999999999993</v>
      </c>
      <c r="M17" s="23">
        <v>5.7</v>
      </c>
      <c r="N17" s="23">
        <v>4.8</v>
      </c>
      <c r="O17" s="23">
        <v>4.5999999999999996</v>
      </c>
      <c r="P17" s="23">
        <v>4.2</v>
      </c>
      <c r="Q17" s="23">
        <v>4.5599999999999996</v>
      </c>
      <c r="R17" s="23">
        <v>4.07</v>
      </c>
      <c r="S17" s="23">
        <v>5.46</v>
      </c>
      <c r="T17" s="23">
        <v>5.7</v>
      </c>
      <c r="U17" s="23">
        <v>6.7</v>
      </c>
      <c r="V17" s="23">
        <v>6.6</v>
      </c>
      <c r="W17" s="23">
        <v>14.2</v>
      </c>
      <c r="X17" s="23">
        <v>13.1</v>
      </c>
      <c r="Y17" s="23">
        <v>13.5</v>
      </c>
      <c r="Z17" s="23">
        <v>12.3</v>
      </c>
      <c r="AA17" s="23">
        <v>13.2</v>
      </c>
      <c r="AB17" s="23">
        <v>12.4</v>
      </c>
      <c r="AC17" s="23">
        <v>13</v>
      </c>
      <c r="AD17" s="31">
        <f t="shared" si="3"/>
        <v>9.1594999999999995</v>
      </c>
      <c r="AF17" s="25">
        <f t="shared" si="4"/>
        <v>-0.69999999999999929</v>
      </c>
    </row>
    <row r="18" spans="1:32" ht="15" customHeight="1" x14ac:dyDescent="0.2">
      <c r="A18" s="4" t="s">
        <v>16</v>
      </c>
      <c r="B18" s="5"/>
      <c r="C18" s="5">
        <v>15</v>
      </c>
      <c r="D18" s="5">
        <v>14</v>
      </c>
      <c r="E18" s="5">
        <v>14.8</v>
      </c>
      <c r="F18" s="5">
        <v>15.7</v>
      </c>
      <c r="G18" s="5">
        <v>14.4</v>
      </c>
      <c r="H18" s="5">
        <v>15.4</v>
      </c>
      <c r="I18" s="5">
        <v>15.4</v>
      </c>
      <c r="J18" s="5">
        <v>15.6</v>
      </c>
      <c r="K18" s="5">
        <v>13.9</v>
      </c>
      <c r="L18" s="5">
        <v>13.5</v>
      </c>
      <c r="M18" s="5">
        <v>13.7</v>
      </c>
      <c r="N18" s="5">
        <v>11.6</v>
      </c>
      <c r="O18" s="6">
        <v>11.6</v>
      </c>
      <c r="P18" s="6">
        <v>11</v>
      </c>
      <c r="Q18" s="6">
        <v>10.4</v>
      </c>
      <c r="R18" s="6">
        <v>9.9</v>
      </c>
      <c r="S18" s="6">
        <v>9.6</v>
      </c>
      <c r="T18" s="6">
        <v>9</v>
      </c>
      <c r="U18" s="6">
        <v>8.77</v>
      </c>
      <c r="V18" s="6">
        <v>9.1</v>
      </c>
      <c r="W18" s="6">
        <v>11.96</v>
      </c>
      <c r="X18" s="6">
        <v>13.8</v>
      </c>
      <c r="Y18" s="6">
        <v>10.7</v>
      </c>
      <c r="Z18" s="6">
        <v>7.2</v>
      </c>
      <c r="AA18" s="6">
        <v>7.8</v>
      </c>
      <c r="AB18" s="6">
        <v>6.9</v>
      </c>
      <c r="AC18" s="6">
        <v>6.5</v>
      </c>
      <c r="AD18" s="31">
        <f t="shared" si="3"/>
        <v>11.749259259259258</v>
      </c>
      <c r="AF18" s="25">
        <f t="shared" si="4"/>
        <v>0.70000000000000018</v>
      </c>
    </row>
    <row r="19" spans="1:32" ht="15" customHeight="1" x14ac:dyDescent="0.2">
      <c r="A19" s="22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>
        <v>9.3000000000000007</v>
      </c>
      <c r="M19" s="23">
        <v>4.4000000000000004</v>
      </c>
      <c r="N19" s="23">
        <v>3.1</v>
      </c>
      <c r="O19" s="23">
        <v>4.3</v>
      </c>
      <c r="P19" s="23">
        <v>3.18</v>
      </c>
      <c r="Q19" s="23">
        <v>2.2999999999999998</v>
      </c>
      <c r="R19" s="23">
        <v>2.7</v>
      </c>
      <c r="S19" s="23">
        <v>3.38</v>
      </c>
      <c r="T19" s="23">
        <v>1.76</v>
      </c>
      <c r="U19" s="23">
        <v>3.68</v>
      </c>
      <c r="V19" s="23">
        <v>1.71</v>
      </c>
      <c r="W19" s="23">
        <v>1.96</v>
      </c>
      <c r="X19" s="23">
        <v>2.79</v>
      </c>
      <c r="Y19" s="23">
        <v>2.48</v>
      </c>
      <c r="Z19" s="23">
        <v>2.7</v>
      </c>
      <c r="AA19" s="23">
        <v>2.77</v>
      </c>
      <c r="AB19" s="23">
        <v>2.6978064999917732</v>
      </c>
      <c r="AC19" s="23">
        <v>3.7446255961274071</v>
      </c>
      <c r="AD19" s="31">
        <f t="shared" si="3"/>
        <v>3.2751351164510658</v>
      </c>
      <c r="AF19" s="25">
        <f t="shared" si="4"/>
        <v>-1.0446255961274069</v>
      </c>
    </row>
    <row r="20" spans="1:32" ht="15" customHeight="1" x14ac:dyDescent="0.2">
      <c r="A20" s="4" t="s">
        <v>18</v>
      </c>
      <c r="B20" s="5"/>
      <c r="C20" s="5"/>
      <c r="D20" s="5"/>
      <c r="E20" s="5"/>
      <c r="F20" s="5"/>
      <c r="G20" s="5">
        <v>8</v>
      </c>
      <c r="H20" s="5">
        <v>8.8000000000000007</v>
      </c>
      <c r="I20" s="5">
        <v>8.6999999999999993</v>
      </c>
      <c r="J20" s="5">
        <v>9.5</v>
      </c>
      <c r="K20" s="5">
        <v>8.1999999999999993</v>
      </c>
      <c r="L20" s="5">
        <v>9</v>
      </c>
      <c r="M20" s="5">
        <v>7.9</v>
      </c>
      <c r="N20" s="5">
        <v>8.4</v>
      </c>
      <c r="O20" s="6">
        <v>8.0399999999999991</v>
      </c>
      <c r="P20" s="6">
        <v>7.07</v>
      </c>
      <c r="Q20" s="6">
        <v>5.38</v>
      </c>
      <c r="R20" s="6">
        <v>5.22</v>
      </c>
      <c r="S20" s="6">
        <v>4.5999999999999996</v>
      </c>
      <c r="T20" s="6">
        <v>5.2</v>
      </c>
      <c r="U20" s="6">
        <v>5.73</v>
      </c>
      <c r="V20" s="6">
        <v>6.37</v>
      </c>
      <c r="W20" s="6">
        <v>6.48</v>
      </c>
      <c r="X20" s="6">
        <v>6.4</v>
      </c>
      <c r="Y20" s="6">
        <v>6.51</v>
      </c>
      <c r="Z20" s="6">
        <v>5.74</v>
      </c>
      <c r="AA20" s="6">
        <v>5.52</v>
      </c>
      <c r="AB20" s="6">
        <v>5.91</v>
      </c>
      <c r="AC20" s="6">
        <v>4.6100000000000003</v>
      </c>
      <c r="AD20" s="31">
        <f t="shared" si="3"/>
        <v>6.8382608695652172</v>
      </c>
      <c r="AF20" s="25">
        <f t="shared" si="4"/>
        <v>1.1299999999999999</v>
      </c>
    </row>
    <row r="21" spans="1:32" ht="15" customHeight="1" x14ac:dyDescent="0.2">
      <c r="A21" s="22" t="s">
        <v>19</v>
      </c>
      <c r="B21" s="23">
        <v>11</v>
      </c>
      <c r="C21" s="23">
        <v>11.1</v>
      </c>
      <c r="D21" s="23">
        <v>10.7</v>
      </c>
      <c r="E21" s="23">
        <v>10.5</v>
      </c>
      <c r="F21" s="23">
        <v>10.3</v>
      </c>
      <c r="G21" s="23">
        <v>10</v>
      </c>
      <c r="H21" s="23">
        <v>9.1</v>
      </c>
      <c r="I21" s="23">
        <v>8.8000000000000007</v>
      </c>
      <c r="J21" s="23">
        <v>8.1</v>
      </c>
      <c r="K21" s="23">
        <v>6.7</v>
      </c>
      <c r="L21" s="23">
        <v>8.3000000000000007</v>
      </c>
      <c r="M21" s="23">
        <v>7</v>
      </c>
      <c r="N21" s="23">
        <v>6.9</v>
      </c>
      <c r="O21" s="23">
        <v>6</v>
      </c>
      <c r="P21" s="23">
        <v>5.6</v>
      </c>
      <c r="Q21" s="23">
        <v>4.9000000000000004</v>
      </c>
      <c r="R21" s="23">
        <v>4.7</v>
      </c>
      <c r="S21" s="23">
        <v>4.2</v>
      </c>
      <c r="T21" s="23">
        <v>4.5</v>
      </c>
      <c r="U21" s="23">
        <v>4.3</v>
      </c>
      <c r="V21" s="23">
        <v>4</v>
      </c>
      <c r="W21" s="23">
        <v>3.6</v>
      </c>
      <c r="X21" s="23">
        <v>3.7</v>
      </c>
      <c r="Y21" s="23">
        <v>3.5</v>
      </c>
      <c r="Z21" s="23">
        <v>3.5</v>
      </c>
      <c r="AA21" s="23">
        <v>4.7</v>
      </c>
      <c r="AB21" s="23">
        <v>4.9000000000000004</v>
      </c>
      <c r="AC21" s="23">
        <v>4.8</v>
      </c>
      <c r="AD21" s="31">
        <f t="shared" si="3"/>
        <v>6.621428571428571</v>
      </c>
      <c r="AF21" s="25">
        <f t="shared" si="4"/>
        <v>-1.2999999999999998</v>
      </c>
    </row>
    <row r="22" spans="1:32" ht="15" customHeight="1" x14ac:dyDescent="0.2">
      <c r="A22" s="4" t="s">
        <v>20</v>
      </c>
      <c r="B22" s="5">
        <v>12.6</v>
      </c>
      <c r="C22" s="5">
        <v>12.7</v>
      </c>
      <c r="D22" s="5">
        <v>13</v>
      </c>
      <c r="E22" s="5">
        <v>12</v>
      </c>
      <c r="F22" s="5">
        <v>12.9</v>
      </c>
      <c r="G22" s="5">
        <v>13.1</v>
      </c>
      <c r="H22" s="5">
        <v>13.1</v>
      </c>
      <c r="I22" s="5">
        <v>12.4</v>
      </c>
      <c r="J22" s="5">
        <v>12.3</v>
      </c>
      <c r="K22" s="5">
        <v>11.9</v>
      </c>
      <c r="L22" s="5">
        <v>11.6</v>
      </c>
      <c r="M22" s="5">
        <v>11.7</v>
      </c>
      <c r="N22" s="5">
        <v>11.6</v>
      </c>
      <c r="O22" s="6">
        <v>11.2</v>
      </c>
      <c r="P22" s="6">
        <v>11.1</v>
      </c>
      <c r="Q22" s="6">
        <v>10</v>
      </c>
      <c r="R22" s="6">
        <v>10.1</v>
      </c>
      <c r="S22" s="6">
        <v>9.1999999999999993</v>
      </c>
      <c r="T22" s="6">
        <v>8.49</v>
      </c>
      <c r="U22" s="6">
        <v>8.1999999999999993</v>
      </c>
      <c r="V22" s="6">
        <v>7.3</v>
      </c>
      <c r="W22" s="6">
        <v>4.8</v>
      </c>
      <c r="X22" s="6">
        <v>6.3</v>
      </c>
      <c r="Y22" s="6">
        <v>6.2</v>
      </c>
      <c r="Z22" s="6">
        <v>5.0999999999999996</v>
      </c>
      <c r="AA22" s="6">
        <v>4.2</v>
      </c>
      <c r="AB22" s="6">
        <v>5.17</v>
      </c>
      <c r="AC22" s="6">
        <v>5.5</v>
      </c>
      <c r="AD22" s="31">
        <f t="shared" si="3"/>
        <v>9.7771428571428576</v>
      </c>
      <c r="AF22" s="25">
        <f t="shared" si="4"/>
        <v>-0.40000000000000036</v>
      </c>
    </row>
    <row r="23" spans="1:32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10.4</v>
      </c>
      <c r="L23" s="23">
        <v>8</v>
      </c>
      <c r="M23" s="23">
        <v>7.3</v>
      </c>
      <c r="N23" s="23">
        <v>7.2</v>
      </c>
      <c r="O23" s="23">
        <v>7.2</v>
      </c>
      <c r="P23" s="23">
        <v>6.2</v>
      </c>
      <c r="Q23" s="23">
        <v>5.2</v>
      </c>
      <c r="R23" s="23">
        <v>5.7</v>
      </c>
      <c r="S23" s="23">
        <v>5.6</v>
      </c>
      <c r="T23" s="23">
        <v>5.4</v>
      </c>
      <c r="U23" s="23">
        <v>4.9000000000000004</v>
      </c>
      <c r="V23" s="23">
        <v>4.7</v>
      </c>
      <c r="W23" s="23">
        <v>3.2</v>
      </c>
      <c r="X23" s="23">
        <v>3</v>
      </c>
      <c r="Y23" s="23">
        <v>3.3</v>
      </c>
      <c r="Z23" s="23">
        <v>4</v>
      </c>
      <c r="AA23" s="23">
        <v>3.8</v>
      </c>
      <c r="AB23" s="23">
        <v>2.5</v>
      </c>
      <c r="AC23" s="23">
        <v>6.5</v>
      </c>
      <c r="AD23" s="31">
        <f t="shared" si="3"/>
        <v>5.4789473684210535</v>
      </c>
      <c r="AF23" s="25">
        <f t="shared" si="4"/>
        <v>-2.5</v>
      </c>
    </row>
    <row r="24" spans="1:32" ht="15" customHeight="1" x14ac:dyDescent="0.2">
      <c r="A24" s="4" t="s">
        <v>22</v>
      </c>
      <c r="B24" s="5"/>
      <c r="C24" s="5">
        <v>14.6</v>
      </c>
      <c r="D24" s="5">
        <v>13.7</v>
      </c>
      <c r="E24" s="5">
        <v>14.7</v>
      </c>
      <c r="F24" s="5">
        <v>14.5</v>
      </c>
      <c r="G24" s="5">
        <v>15.3</v>
      </c>
      <c r="H24" s="5">
        <v>14.2</v>
      </c>
      <c r="I24" s="5">
        <v>14.6</v>
      </c>
      <c r="J24" s="5">
        <v>13.7</v>
      </c>
      <c r="K24" s="5">
        <v>14.3</v>
      </c>
      <c r="L24" s="5">
        <v>9.4</v>
      </c>
      <c r="M24" s="5">
        <v>9.6</v>
      </c>
      <c r="N24" s="5">
        <v>9.1</v>
      </c>
      <c r="O24" s="6">
        <v>8.5</v>
      </c>
      <c r="P24" s="6">
        <v>8.3000000000000007</v>
      </c>
      <c r="Q24" s="6">
        <v>7.4</v>
      </c>
      <c r="R24" s="6">
        <v>7.4</v>
      </c>
      <c r="S24" s="6">
        <v>7.8</v>
      </c>
      <c r="T24" s="6">
        <v>6.3</v>
      </c>
      <c r="U24" s="6">
        <v>6.7</v>
      </c>
      <c r="V24" s="6">
        <v>6.4</v>
      </c>
      <c r="W24" s="6">
        <v>6.7</v>
      </c>
      <c r="X24" s="6">
        <v>6.3</v>
      </c>
      <c r="Y24" s="6">
        <v>4.9000000000000004</v>
      </c>
      <c r="Z24" s="6">
        <v>5.9</v>
      </c>
      <c r="AA24" s="6">
        <v>5.8</v>
      </c>
      <c r="AB24" s="6">
        <v>5.2</v>
      </c>
      <c r="AC24" s="6">
        <v>2.5</v>
      </c>
      <c r="AD24" s="31">
        <f t="shared" si="3"/>
        <v>9.4000000000000021</v>
      </c>
      <c r="AF24" s="25">
        <f t="shared" si="4"/>
        <v>3.4000000000000004</v>
      </c>
    </row>
    <row r="25" spans="1:32" ht="15" customHeight="1" x14ac:dyDescent="0.2">
      <c r="A25" s="22" t="s">
        <v>23</v>
      </c>
      <c r="B25" s="23">
        <v>9.5</v>
      </c>
      <c r="C25" s="23">
        <v>9.6999999999999993</v>
      </c>
      <c r="D25" s="23">
        <v>9.9</v>
      </c>
      <c r="E25" s="23">
        <v>9.1</v>
      </c>
      <c r="F25" s="23">
        <v>9.6</v>
      </c>
      <c r="G25" s="23">
        <v>8.5</v>
      </c>
      <c r="H25" s="23">
        <v>8</v>
      </c>
      <c r="I25" s="23">
        <v>8.5</v>
      </c>
      <c r="J25" s="23">
        <v>8.4</v>
      </c>
      <c r="K25" s="23">
        <v>9.4</v>
      </c>
      <c r="L25" s="23">
        <v>8</v>
      </c>
      <c r="M25" s="23">
        <v>7.6</v>
      </c>
      <c r="N25" s="23">
        <v>6.2</v>
      </c>
      <c r="O25" s="23">
        <v>7.3</v>
      </c>
      <c r="P25" s="23">
        <v>5.5</v>
      </c>
      <c r="Q25" s="23">
        <v>5.0999999999999996</v>
      </c>
      <c r="R25" s="23">
        <v>4.5999999999999996</v>
      </c>
      <c r="S25" s="23">
        <v>3.9</v>
      </c>
      <c r="T25" s="23">
        <v>3.5</v>
      </c>
      <c r="U25" s="23">
        <v>4.9000000000000004</v>
      </c>
      <c r="V25" s="23">
        <v>2.6</v>
      </c>
      <c r="W25" s="23">
        <v>6.3</v>
      </c>
      <c r="X25" s="23">
        <v>6.2</v>
      </c>
      <c r="Y25" s="23">
        <v>3.2</v>
      </c>
      <c r="Z25" s="23">
        <v>3.6</v>
      </c>
      <c r="AA25" s="23">
        <v>4.7</v>
      </c>
      <c r="AB25" s="23">
        <v>6.4</v>
      </c>
      <c r="AC25" s="23">
        <v>6.9</v>
      </c>
      <c r="AD25" s="31">
        <f t="shared" si="3"/>
        <v>6.6821428571428569</v>
      </c>
      <c r="AF25" s="25">
        <f t="shared" si="4"/>
        <v>-3.3000000000000003</v>
      </c>
    </row>
    <row r="26" spans="1:32" ht="15" customHeight="1" x14ac:dyDescent="0.2">
      <c r="A26" s="4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 t="s">
        <v>1</v>
      </c>
      <c r="M26" s="5" t="s">
        <v>1</v>
      </c>
      <c r="N26" s="5" t="s">
        <v>1</v>
      </c>
      <c r="O26" s="5" t="s">
        <v>1</v>
      </c>
      <c r="P26" s="5" t="s">
        <v>3</v>
      </c>
      <c r="Q26" s="5" t="s">
        <v>1</v>
      </c>
      <c r="R26" s="5" t="s">
        <v>1</v>
      </c>
      <c r="S26" s="6" t="s">
        <v>1</v>
      </c>
      <c r="T26" s="6" t="s">
        <v>1</v>
      </c>
      <c r="U26" s="6" t="s">
        <v>1</v>
      </c>
      <c r="V26" s="6" t="s">
        <v>1</v>
      </c>
      <c r="W26" s="6" t="s">
        <v>1</v>
      </c>
      <c r="X26" s="6" t="s">
        <v>1</v>
      </c>
      <c r="Y26" s="6" t="s">
        <v>1</v>
      </c>
      <c r="Z26" s="6" t="s">
        <v>1</v>
      </c>
      <c r="AA26" s="6" t="s">
        <v>1</v>
      </c>
      <c r="AB26" s="6" t="s">
        <v>1</v>
      </c>
      <c r="AC26" s="6" t="s">
        <v>1</v>
      </c>
      <c r="AD26" s="31" t="s">
        <v>28</v>
      </c>
      <c r="AF26" s="25" t="s">
        <v>28</v>
      </c>
    </row>
    <row r="27" spans="1:32" ht="15" customHeight="1" x14ac:dyDescent="0.2">
      <c r="A27" s="22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 t="s">
        <v>1</v>
      </c>
      <c r="M27" s="23" t="s">
        <v>1</v>
      </c>
      <c r="N27" s="23" t="s">
        <v>1</v>
      </c>
      <c r="O27" s="23" t="s">
        <v>1</v>
      </c>
      <c r="P27" s="23" t="s">
        <v>3</v>
      </c>
      <c r="Q27" s="23" t="s">
        <v>1</v>
      </c>
      <c r="R27" s="23" t="s">
        <v>3</v>
      </c>
      <c r="S27" s="23" t="s">
        <v>1</v>
      </c>
      <c r="T27" s="23" t="s">
        <v>1</v>
      </c>
      <c r="U27" s="23" t="s">
        <v>1</v>
      </c>
      <c r="V27" s="23" t="s">
        <v>1</v>
      </c>
      <c r="W27" s="23" t="s">
        <v>1</v>
      </c>
      <c r="X27" s="23">
        <v>7.9</v>
      </c>
      <c r="Y27" s="23">
        <v>7.7</v>
      </c>
      <c r="Z27" s="23">
        <v>7.3</v>
      </c>
      <c r="AA27" s="23">
        <v>7.3</v>
      </c>
      <c r="AB27" s="23">
        <v>7</v>
      </c>
      <c r="AC27" s="23">
        <v>7.0198516043978687</v>
      </c>
      <c r="AD27" s="31">
        <f t="shared" si="3"/>
        <v>7.3699752673996457</v>
      </c>
      <c r="AF27" s="25">
        <f t="shared" si="4"/>
        <v>0.28014839560213112</v>
      </c>
    </row>
    <row r="28" spans="1:32" ht="15" customHeight="1" x14ac:dyDescent="0.2">
      <c r="A28" s="4" t="s">
        <v>26</v>
      </c>
      <c r="B28" s="5">
        <v>39</v>
      </c>
      <c r="C28" s="5">
        <v>41.3</v>
      </c>
      <c r="D28" s="5"/>
      <c r="E28" s="5">
        <v>13.3</v>
      </c>
      <c r="F28" s="5">
        <v>12.6</v>
      </c>
      <c r="G28" s="5">
        <v>13.7</v>
      </c>
      <c r="H28" s="5">
        <v>12.4</v>
      </c>
      <c r="I28" s="5">
        <v>11.2</v>
      </c>
      <c r="J28" s="5">
        <v>9.4</v>
      </c>
      <c r="K28" s="5">
        <v>8.6999999999999993</v>
      </c>
      <c r="L28" s="5">
        <v>9.9</v>
      </c>
      <c r="M28" s="5">
        <v>8.9</v>
      </c>
      <c r="N28" s="5">
        <v>9.9</v>
      </c>
      <c r="O28" s="6">
        <v>9.9</v>
      </c>
      <c r="P28" s="6">
        <v>8.6</v>
      </c>
      <c r="Q28" s="6">
        <v>8.3000000000000007</v>
      </c>
      <c r="R28" s="6">
        <v>6.4</v>
      </c>
      <c r="S28" s="6">
        <v>5.8</v>
      </c>
      <c r="T28" s="6">
        <v>6</v>
      </c>
      <c r="U28" s="6">
        <v>5.3</v>
      </c>
      <c r="V28" s="6">
        <v>4.1900000000000004</v>
      </c>
      <c r="W28" s="6">
        <v>7.13</v>
      </c>
      <c r="X28" s="6">
        <v>7.31</v>
      </c>
      <c r="Y28" s="6">
        <v>5.3000000000000007</v>
      </c>
      <c r="Z28" s="6">
        <v>6.3888888888888884</v>
      </c>
      <c r="AA28" s="6">
        <v>6.7777777777777786</v>
      </c>
      <c r="AB28" s="6">
        <v>7.4</v>
      </c>
      <c r="AC28" s="6">
        <v>6.3</v>
      </c>
      <c r="AD28" s="31">
        <f t="shared" si="3"/>
        <v>10.79246913580247</v>
      </c>
      <c r="AF28" s="25">
        <f t="shared" si="4"/>
        <v>8.8888888888888573E-2</v>
      </c>
    </row>
    <row r="29" spans="1:32" ht="15" customHeight="1" x14ac:dyDescent="0.2">
      <c r="A29" s="22" t="s">
        <v>27</v>
      </c>
      <c r="B29" s="23">
        <v>4.9000000000000004</v>
      </c>
      <c r="C29" s="23">
        <v>6.1</v>
      </c>
      <c r="D29" s="23">
        <v>6.3</v>
      </c>
      <c r="E29" s="23">
        <v>6.8</v>
      </c>
      <c r="F29" s="23">
        <v>7.4</v>
      </c>
      <c r="G29" s="23">
        <v>14.8</v>
      </c>
      <c r="H29" s="23">
        <v>14.9</v>
      </c>
      <c r="I29" s="23">
        <v>14.5</v>
      </c>
      <c r="J29" s="23">
        <v>11.7</v>
      </c>
      <c r="K29" s="23">
        <v>8</v>
      </c>
      <c r="L29" s="23">
        <v>5.5</v>
      </c>
      <c r="M29" s="23">
        <v>6.5</v>
      </c>
      <c r="N29" s="23">
        <v>6.2</v>
      </c>
      <c r="O29" s="23">
        <v>5.9</v>
      </c>
      <c r="P29" s="23">
        <v>7</v>
      </c>
      <c r="Q29" s="23">
        <v>6.1</v>
      </c>
      <c r="R29" s="23">
        <v>6.5</v>
      </c>
      <c r="S29" s="23">
        <v>6</v>
      </c>
      <c r="T29" s="23">
        <v>3.9</v>
      </c>
      <c r="U29" s="23">
        <v>5.3</v>
      </c>
      <c r="V29" s="23">
        <v>5.6</v>
      </c>
      <c r="W29" s="23">
        <v>5.4</v>
      </c>
      <c r="X29" s="23">
        <v>5.7</v>
      </c>
      <c r="Y29" s="23">
        <v>5.8</v>
      </c>
      <c r="Z29" s="23">
        <v>5.6</v>
      </c>
      <c r="AA29" s="23">
        <v>6</v>
      </c>
      <c r="AB29" s="23">
        <v>5.2</v>
      </c>
      <c r="AC29" s="23">
        <v>5</v>
      </c>
      <c r="AD29" s="31">
        <f t="shared" si="3"/>
        <v>7.0928571428571425</v>
      </c>
      <c r="AF29" s="25">
        <f t="shared" si="4"/>
        <v>0.59999999999999964</v>
      </c>
    </row>
    <row r="30" spans="1:32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32" ht="15" customHeight="1" x14ac:dyDescent="0.2">
      <c r="A31" s="21" t="s">
        <v>30</v>
      </c>
      <c r="B31" s="13">
        <f>MIN(B$4:B$29)</f>
        <v>4.9000000000000004</v>
      </c>
      <c r="C31" s="13">
        <f>MIN(C$4:C$29)</f>
        <v>5</v>
      </c>
      <c r="D31" s="13">
        <f>MIN(D$4:D$29)</f>
        <v>3.8</v>
      </c>
      <c r="E31" s="13">
        <f t="shared" ref="E31:K31" si="5">MIN(E$4:E$29)</f>
        <v>1.9</v>
      </c>
      <c r="F31" s="13">
        <f t="shared" si="5"/>
        <v>2.7</v>
      </c>
      <c r="G31" s="13">
        <f t="shared" si="5"/>
        <v>3.8</v>
      </c>
      <c r="H31" s="13">
        <f t="shared" si="5"/>
        <v>5.4</v>
      </c>
      <c r="I31" s="13">
        <f t="shared" si="5"/>
        <v>5</v>
      </c>
      <c r="J31" s="13">
        <f t="shared" si="5"/>
        <v>5</v>
      </c>
      <c r="K31" s="13">
        <f t="shared" si="5"/>
        <v>2</v>
      </c>
      <c r="L31" s="13">
        <f t="shared" ref="L31:AD31" si="6">MIN(L$4:L$29)</f>
        <v>4.9000000000000004</v>
      </c>
      <c r="M31" s="13">
        <f t="shared" si="6"/>
        <v>4.4000000000000004</v>
      </c>
      <c r="N31" s="13">
        <f t="shared" si="6"/>
        <v>3.1</v>
      </c>
      <c r="O31" s="13">
        <f t="shared" si="6"/>
        <v>4.3</v>
      </c>
      <c r="P31" s="13">
        <f t="shared" si="6"/>
        <v>3.18</v>
      </c>
      <c r="Q31" s="13">
        <f t="shared" si="6"/>
        <v>2.2999999999999998</v>
      </c>
      <c r="R31" s="13">
        <f t="shared" si="6"/>
        <v>2.7</v>
      </c>
      <c r="S31" s="13">
        <f t="shared" si="6"/>
        <v>0.8</v>
      </c>
      <c r="T31" s="13">
        <f t="shared" si="6"/>
        <v>0.4</v>
      </c>
      <c r="U31" s="13">
        <f t="shared" si="6"/>
        <v>1.7</v>
      </c>
      <c r="V31" s="13">
        <f t="shared" si="6"/>
        <v>1.71</v>
      </c>
      <c r="W31" s="13">
        <f t="shared" si="6"/>
        <v>-1.9585672131626382</v>
      </c>
      <c r="X31" s="13">
        <f t="shared" si="6"/>
        <v>-3.3</v>
      </c>
      <c r="Y31" s="13">
        <f t="shared" si="6"/>
        <v>-2.8</v>
      </c>
      <c r="Z31" s="13">
        <f t="shared" si="6"/>
        <v>-4.5</v>
      </c>
      <c r="AA31" s="13">
        <f t="shared" si="6"/>
        <v>-5.4</v>
      </c>
      <c r="AB31" s="13">
        <f t="shared" si="6"/>
        <v>-2.4</v>
      </c>
      <c r="AC31" s="13">
        <f t="shared" si="6"/>
        <v>-2.2999999999999998</v>
      </c>
      <c r="AD31" s="13">
        <f t="shared" si="6"/>
        <v>2.846428571428572</v>
      </c>
      <c r="AF31" s="25">
        <f>Y31-AB31</f>
        <v>-0.39999999999999991</v>
      </c>
    </row>
    <row r="32" spans="1:32" ht="15" customHeight="1" x14ac:dyDescent="0.2">
      <c r="A32" s="12" t="s">
        <v>80</v>
      </c>
      <c r="B32" s="10">
        <f>MEDIAN(B$4:B$29)</f>
        <v>11</v>
      </c>
      <c r="C32" s="10">
        <f>MEDIAN(C$4:C$29)</f>
        <v>11.45</v>
      </c>
      <c r="D32" s="10">
        <f>MEDIAN(D$4:D$29)</f>
        <v>11.5</v>
      </c>
      <c r="E32" s="10">
        <f t="shared" ref="E32:K32" si="7">MEDIAN(E$4:E$29)</f>
        <v>12</v>
      </c>
      <c r="F32" s="10">
        <f t="shared" si="7"/>
        <v>11.6</v>
      </c>
      <c r="G32" s="10">
        <f t="shared" si="7"/>
        <v>10.1</v>
      </c>
      <c r="H32" s="10">
        <f t="shared" si="7"/>
        <v>11.3</v>
      </c>
      <c r="I32" s="10">
        <f t="shared" si="7"/>
        <v>10.7</v>
      </c>
      <c r="J32" s="10">
        <f t="shared" si="7"/>
        <v>10</v>
      </c>
      <c r="K32" s="10">
        <f t="shared" si="7"/>
        <v>9.0500000000000007</v>
      </c>
      <c r="L32" s="10">
        <f t="shared" ref="L32:AD32" si="8">MEDIAN(L$4:L$29)</f>
        <v>9.1</v>
      </c>
      <c r="M32" s="10">
        <f t="shared" si="8"/>
        <v>8.15</v>
      </c>
      <c r="N32" s="10">
        <f t="shared" si="8"/>
        <v>7.4</v>
      </c>
      <c r="O32" s="10">
        <f t="shared" si="8"/>
        <v>7.3</v>
      </c>
      <c r="P32" s="10">
        <f t="shared" si="8"/>
        <v>7.27</v>
      </c>
      <c r="Q32" s="10">
        <f t="shared" si="8"/>
        <v>6.1</v>
      </c>
      <c r="R32" s="10">
        <f t="shared" si="8"/>
        <v>6.4</v>
      </c>
      <c r="S32" s="10">
        <f t="shared" si="8"/>
        <v>5.8</v>
      </c>
      <c r="T32" s="10">
        <f t="shared" si="8"/>
        <v>6</v>
      </c>
      <c r="U32" s="10">
        <f t="shared" si="8"/>
        <v>5.73</v>
      </c>
      <c r="V32" s="10">
        <f t="shared" si="8"/>
        <v>5.8</v>
      </c>
      <c r="W32" s="10">
        <f t="shared" si="8"/>
        <v>5.8</v>
      </c>
      <c r="X32" s="10">
        <f t="shared" si="8"/>
        <v>6</v>
      </c>
      <c r="Y32" s="10">
        <f t="shared" si="8"/>
        <v>5.7650000000000006</v>
      </c>
      <c r="Z32" s="10">
        <f t="shared" si="8"/>
        <v>5.4</v>
      </c>
      <c r="AA32" s="10">
        <f t="shared" si="8"/>
        <v>5.52</v>
      </c>
      <c r="AB32" s="10">
        <f t="shared" si="8"/>
        <v>5.2</v>
      </c>
      <c r="AC32" s="10">
        <f t="shared" si="8"/>
        <v>5.5350000000000001</v>
      </c>
      <c r="AD32" s="10">
        <f t="shared" si="8"/>
        <v>7.3699752673996457</v>
      </c>
      <c r="AF32" s="25">
        <f t="shared" ref="AF32:AF36" si="9">Y32-AB32</f>
        <v>0.56500000000000039</v>
      </c>
    </row>
    <row r="33" spans="1:32" ht="15" customHeight="1" x14ac:dyDescent="0.2">
      <c r="A33" s="21" t="s">
        <v>31</v>
      </c>
      <c r="B33" s="13">
        <f>MAX(B$4:B$29)</f>
        <v>39</v>
      </c>
      <c r="C33" s="13">
        <f>MAX(C$4:C$29)</f>
        <v>41.3</v>
      </c>
      <c r="D33" s="13">
        <f>MAX(D$4:D$29)</f>
        <v>20.399999999999999</v>
      </c>
      <c r="E33" s="13">
        <f t="shared" ref="E33:K33" si="10">MAX(E$4:E$29)</f>
        <v>23</v>
      </c>
      <c r="F33" s="13">
        <f t="shared" si="10"/>
        <v>23.9</v>
      </c>
      <c r="G33" s="13">
        <f t="shared" si="10"/>
        <v>20.6</v>
      </c>
      <c r="H33" s="13">
        <f t="shared" si="10"/>
        <v>16.8</v>
      </c>
      <c r="I33" s="13">
        <f t="shared" si="10"/>
        <v>16.3</v>
      </c>
      <c r="J33" s="13">
        <f t="shared" si="10"/>
        <v>15.7</v>
      </c>
      <c r="K33" s="13">
        <f t="shared" si="10"/>
        <v>22.1</v>
      </c>
      <c r="L33" s="13">
        <f t="shared" ref="L33:AD33" si="11">MAX(L$4:L$29)</f>
        <v>15.1</v>
      </c>
      <c r="M33" s="13">
        <f t="shared" si="11"/>
        <v>17.3</v>
      </c>
      <c r="N33" s="13">
        <f t="shared" si="11"/>
        <v>16.2</v>
      </c>
      <c r="O33" s="13">
        <f t="shared" si="11"/>
        <v>15.9</v>
      </c>
      <c r="P33" s="13">
        <f t="shared" si="11"/>
        <v>15.1</v>
      </c>
      <c r="Q33" s="13">
        <f t="shared" si="11"/>
        <v>38.9</v>
      </c>
      <c r="R33" s="13">
        <f t="shared" si="11"/>
        <v>15.3</v>
      </c>
      <c r="S33" s="13">
        <f t="shared" si="11"/>
        <v>12.7</v>
      </c>
      <c r="T33" s="13">
        <f t="shared" si="11"/>
        <v>12.04</v>
      </c>
      <c r="U33" s="13">
        <f t="shared" si="11"/>
        <v>11.51</v>
      </c>
      <c r="V33" s="13">
        <f t="shared" si="11"/>
        <v>13.4</v>
      </c>
      <c r="W33" s="13">
        <f t="shared" si="11"/>
        <v>14.2</v>
      </c>
      <c r="X33" s="13">
        <f t="shared" si="11"/>
        <v>13.8</v>
      </c>
      <c r="Y33" s="13">
        <f t="shared" si="11"/>
        <v>13.5</v>
      </c>
      <c r="Z33" s="13">
        <f t="shared" si="11"/>
        <v>12.3</v>
      </c>
      <c r="AA33" s="13">
        <f t="shared" si="11"/>
        <v>13.2</v>
      </c>
      <c r="AB33" s="13">
        <f t="shared" si="11"/>
        <v>12.4</v>
      </c>
      <c r="AC33" s="13">
        <f t="shared" si="11"/>
        <v>13</v>
      </c>
      <c r="AD33" s="13">
        <f t="shared" si="11"/>
        <v>14.245925925925921</v>
      </c>
      <c r="AF33" s="25">
        <f t="shared" si="9"/>
        <v>1.0999999999999996</v>
      </c>
    </row>
    <row r="34" spans="1:32" ht="15" customHeight="1" x14ac:dyDescent="0.2">
      <c r="A34" s="2" t="s">
        <v>81</v>
      </c>
      <c r="B34" s="8">
        <f>AVERAGE(B4:B29)</f>
        <v>12.709090909090911</v>
      </c>
      <c r="C34" s="8">
        <f>AVERAGE(C4:C29)</f>
        <v>13.212499999999997</v>
      </c>
      <c r="D34" s="8">
        <f>AVERAGE(D4:D29)</f>
        <v>11.512499999999999</v>
      </c>
      <c r="E34" s="8">
        <f t="shared" ref="E34:K34" si="12">AVERAGE(E4:E29)</f>
        <v>11.842105263157896</v>
      </c>
      <c r="F34" s="8">
        <f t="shared" si="12"/>
        <v>11.755555555555555</v>
      </c>
      <c r="G34" s="8">
        <f t="shared" si="12"/>
        <v>11.342105263157896</v>
      </c>
      <c r="H34" s="8">
        <f t="shared" si="12"/>
        <v>10.938095238095238</v>
      </c>
      <c r="I34" s="8">
        <f t="shared" si="12"/>
        <v>10.499999999999998</v>
      </c>
      <c r="J34" s="8">
        <f t="shared" si="12"/>
        <v>10.35</v>
      </c>
      <c r="K34" s="8">
        <f t="shared" si="12"/>
        <v>9.963636363636363</v>
      </c>
      <c r="L34" s="8">
        <f t="shared" ref="L34:O34" si="13">AVERAGE(L4:L29)</f>
        <v>9.5875000000000004</v>
      </c>
      <c r="M34" s="8">
        <f t="shared" si="13"/>
        <v>9.1208333333333318</v>
      </c>
      <c r="N34" s="8">
        <f t="shared" si="13"/>
        <v>8.4577823766980895</v>
      </c>
      <c r="O34" s="10">
        <f t="shared" si="13"/>
        <v>8.3448596920183444</v>
      </c>
      <c r="P34" s="10">
        <f t="shared" ref="P34:AD34" si="14">AVERAGE(P4:P29)</f>
        <v>8.0613758027289837</v>
      </c>
      <c r="Q34" s="10">
        <f t="shared" si="14"/>
        <v>8.038575525385113</v>
      </c>
      <c r="R34" s="10">
        <f t="shared" si="14"/>
        <v>6.706221572304174</v>
      </c>
      <c r="S34" s="10">
        <f t="shared" si="14"/>
        <v>6.2772132409120456</v>
      </c>
      <c r="T34" s="10">
        <f t="shared" si="14"/>
        <v>5.8826086956521744</v>
      </c>
      <c r="U34" s="10">
        <f t="shared" si="14"/>
        <v>6.030643788431183</v>
      </c>
      <c r="V34" s="10">
        <f t="shared" si="14"/>
        <v>5.9828177014746586</v>
      </c>
      <c r="W34" s="10">
        <f t="shared" ref="W34:X34" si="15">AVERAGE(W4:W29)</f>
        <v>5.9826709907320597</v>
      </c>
      <c r="X34" s="10">
        <f t="shared" si="15"/>
        <v>5.9935312891721573</v>
      </c>
      <c r="Y34" s="10">
        <f t="shared" ref="Y34:Z34" si="16">AVERAGE(Y4:Y29)</f>
        <v>5.7045833333333347</v>
      </c>
      <c r="Z34" s="10">
        <f t="shared" si="16"/>
        <v>5.4083555555555556</v>
      </c>
      <c r="AA34" s="10">
        <f t="shared" ref="AA34:AB34" si="17">AVERAGE(AA4:AA29)</f>
        <v>5.6915111111111107</v>
      </c>
      <c r="AB34" s="10">
        <f t="shared" si="17"/>
        <v>5.9271122599996717</v>
      </c>
      <c r="AC34" s="10">
        <f t="shared" ref="AC34" si="18">AVERAGE(AC4:AC29)</f>
        <v>6.0389365500218872</v>
      </c>
      <c r="AD34" s="10">
        <f t="shared" si="14"/>
        <v>8.1372758528311007</v>
      </c>
      <c r="AF34" s="25">
        <f t="shared" si="9"/>
        <v>-0.22252892666633706</v>
      </c>
    </row>
    <row r="35" spans="1:32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2" ht="15" customHeight="1" x14ac:dyDescent="0.2">
      <c r="A36" s="37" t="s">
        <v>0</v>
      </c>
      <c r="B36" s="39">
        <f>IF($A$36="","",VLOOKUP($A$36,$A$4:B29,(B2-1989)))</f>
        <v>13.3</v>
      </c>
      <c r="C36" s="43">
        <f>IF($A$36="","",VLOOKUP($A$36,$A$4:C29,(B2-1988)))</f>
        <v>14.8</v>
      </c>
      <c r="D36" s="43">
        <f>IF($A$36="","",VLOOKUP($A$36,$A$4:D29,(C2-1988)))</f>
        <v>16</v>
      </c>
      <c r="E36" s="43">
        <f>IF($A$36="","",VLOOKUP($A$36,$A$4:E29,(D2-1988)))</f>
        <v>17.5</v>
      </c>
      <c r="F36" s="43">
        <f>IF($A$36="","",VLOOKUP($A$36,$A$4:F29,(E2-1988)))</f>
        <v>16.7</v>
      </c>
      <c r="G36" s="43">
        <f>IF($A$36="","",VLOOKUP($A$36,$A$4:G29,(F2-1988)))</f>
        <v>15.2</v>
      </c>
      <c r="H36" s="43">
        <f>IF($A$36="","",VLOOKUP($A$36,$A$4:H29,(G2-1988)))</f>
        <v>14.3</v>
      </c>
      <c r="I36" s="43">
        <f>IF($A$36="","",VLOOKUP($A$36,$A$4:I29,(H2-1988)))</f>
        <v>13.2</v>
      </c>
      <c r="J36" s="43">
        <f>IF($A$36="","",VLOOKUP($A$36,$A$4:J29,(I2-1988)))</f>
        <v>12.1</v>
      </c>
      <c r="K36" s="43">
        <f>IF($A$36="","",VLOOKUP($A$36,$A$4:K29,(J2-1988)))</f>
        <v>11.2</v>
      </c>
      <c r="L36" s="43">
        <f>IF($A$36="","",VLOOKUP($A$36,$A$4:L29,(K2-1988)))</f>
        <v>9.5</v>
      </c>
      <c r="M36" s="43">
        <f>IF($A$36="","",VLOOKUP($A$36,$A$4:M29,(L2-1988)))</f>
        <v>10</v>
      </c>
      <c r="N36" s="43">
        <f>IF($A$36="","",VLOOKUP($A$36,$A$4:N29,(M2-1988)))</f>
        <v>9.4</v>
      </c>
      <c r="O36" s="43">
        <f>IF($A$36="","",VLOOKUP($A$36,$A$4:O29,(N2-1988)))</f>
        <v>7.5</v>
      </c>
      <c r="P36" s="43">
        <f>IF($A$36="","",VLOOKUP($A$36,$A$4:P29,(O2-1988)))</f>
        <v>5.4</v>
      </c>
      <c r="Q36" s="43">
        <f>IF($A$36="","",VLOOKUP($A$36,$A$4:Q29,(P2-1988)))</f>
        <v>4.8</v>
      </c>
      <c r="R36" s="43">
        <f>IF($A$36="","",VLOOKUP($A$36,$A$4:R29,(Q2-1988)))</f>
        <v>7.1</v>
      </c>
      <c r="S36" s="43">
        <f>IF($A$36="","",VLOOKUP($A$36,$A$4:S29,(R2-1988)))</f>
        <v>6.6</v>
      </c>
      <c r="T36" s="43">
        <f>IF($A$36="","",VLOOKUP($A$36,$A$4:T29,(S2-1988)))</f>
        <v>6</v>
      </c>
      <c r="U36" s="43">
        <f>IF($A$36="","",VLOOKUP($A$36,$A$4:U29,(T2-1988)))</f>
        <v>5.6</v>
      </c>
      <c r="V36" s="43">
        <f>IF($A$36="","",VLOOKUP($A$36,$A$4:V29,(U2-1988)))</f>
        <v>4.9000000000000004</v>
      </c>
      <c r="W36" s="43">
        <f>IF($A$36="","",VLOOKUP($A$36,$A$4:W29,(V2-1988)))</f>
        <v>4.2</v>
      </c>
      <c r="X36" s="43">
        <f>IF($A$36="","",VLOOKUP($A$36,$A$4:X29,(W2-1988)))</f>
        <v>3.9</v>
      </c>
      <c r="Y36" s="43">
        <f>IF($A$36="","",VLOOKUP($A$36,$A$4:Y29,(X2-1988)))</f>
        <v>7.1</v>
      </c>
      <c r="Z36" s="43">
        <f>IF($A$36="","",VLOOKUP($A$36,$A$4:Z29,(Y2-1988)))</f>
        <v>7.6</v>
      </c>
      <c r="AA36" s="43">
        <f>IF($A$36="","",VLOOKUP($A$36,$A$4:AA29,(Z2-1988)))</f>
        <v>7.9</v>
      </c>
      <c r="AB36" s="43">
        <f>IF($A$36="","",VLOOKUP($A$36,$A$4:AB29,(AA2-1988)))</f>
        <v>7.9</v>
      </c>
      <c r="AC36" s="43">
        <f>IF($A$36="","",VLOOKUP($A$36,$A$4:AC29,(AB2-1988)))</f>
        <v>8.1999999999999993</v>
      </c>
      <c r="AD36" s="43">
        <f>IF($A$36="","",VLOOKUP($A$36,$A$4:AD29,(V2-1988)))</f>
        <v>4.2</v>
      </c>
      <c r="AF36" s="25">
        <f t="shared" si="9"/>
        <v>-0.80000000000000071</v>
      </c>
    </row>
    <row r="37" spans="1:32" ht="15" customHeight="1" x14ac:dyDescent="0.2"/>
    <row r="38" spans="1:32" ht="15" customHeight="1" x14ac:dyDescent="0.2">
      <c r="A38" s="2" t="s">
        <v>29</v>
      </c>
    </row>
    <row r="39" spans="1:32" ht="15" customHeight="1" x14ac:dyDescent="0.2"/>
    <row r="40" spans="1:32" ht="15" customHeight="1" x14ac:dyDescent="0.2">
      <c r="A40" s="15" t="s">
        <v>52</v>
      </c>
      <c r="AF40" s="2">
        <f>COUNTIF(AF3:AF29,"&lt;0")</f>
        <v>12</v>
      </c>
    </row>
    <row r="41" spans="1:32" ht="22.5" x14ac:dyDescent="0.2">
      <c r="A41" s="35" t="s">
        <v>53</v>
      </c>
      <c r="B41" s="49">
        <f t="shared" ref="B41:F41" si="19">COUNTIF(B4:B29,"&lt;=5")</f>
        <v>2</v>
      </c>
      <c r="C41" s="49">
        <f t="shared" si="19"/>
        <v>1</v>
      </c>
      <c r="D41" s="49">
        <f t="shared" si="19"/>
        <v>1</v>
      </c>
      <c r="E41" s="49">
        <f t="shared" si="19"/>
        <v>1</v>
      </c>
      <c r="F41" s="49">
        <f t="shared" si="19"/>
        <v>1</v>
      </c>
      <c r="G41" s="49">
        <f>COUNTIF(G4:G29,"&lt;=5")</f>
        <v>1</v>
      </c>
      <c r="H41" s="49">
        <f t="shared" ref="H41:AD41" si="20">COUNTIF(H4:H29,"&lt;=5")</f>
        <v>0</v>
      </c>
      <c r="I41" s="49">
        <f t="shared" si="20"/>
        <v>1</v>
      </c>
      <c r="J41" s="49">
        <f t="shared" si="20"/>
        <v>1</v>
      </c>
      <c r="K41" s="49">
        <f t="shared" si="20"/>
        <v>1</v>
      </c>
      <c r="L41" s="49">
        <f t="shared" si="20"/>
        <v>1</v>
      </c>
      <c r="M41" s="49">
        <f t="shared" si="20"/>
        <v>1</v>
      </c>
      <c r="N41" s="49">
        <f t="shared" si="20"/>
        <v>2</v>
      </c>
      <c r="O41" s="49">
        <f t="shared" si="20"/>
        <v>2</v>
      </c>
      <c r="P41" s="49">
        <f t="shared" si="20"/>
        <v>4</v>
      </c>
      <c r="Q41" s="49">
        <f t="shared" si="20"/>
        <v>7</v>
      </c>
      <c r="R41" s="49">
        <f t="shared" si="20"/>
        <v>7</v>
      </c>
      <c r="S41" s="49">
        <f t="shared" si="20"/>
        <v>7</v>
      </c>
      <c r="T41" s="49">
        <f t="shared" si="20"/>
        <v>7</v>
      </c>
      <c r="U41" s="49">
        <f t="shared" si="20"/>
        <v>8</v>
      </c>
      <c r="V41" s="49">
        <f t="shared" si="20"/>
        <v>10</v>
      </c>
      <c r="W41" s="49">
        <f t="shared" si="20"/>
        <v>9</v>
      </c>
      <c r="X41" s="49">
        <f t="shared" si="20"/>
        <v>8</v>
      </c>
      <c r="Y41" s="49">
        <f t="shared" si="20"/>
        <v>9</v>
      </c>
      <c r="Z41" s="49">
        <f t="shared" si="20"/>
        <v>10</v>
      </c>
      <c r="AA41" s="49">
        <f t="shared" ref="AA41:AB41" si="21">COUNTIF(AA4:AA29,"&lt;=5")</f>
        <v>11</v>
      </c>
      <c r="AB41" s="49">
        <f t="shared" si="21"/>
        <v>10</v>
      </c>
      <c r="AC41" s="49">
        <f t="shared" ref="AC41" si="22">COUNTIF(AC4:AC29,"&lt;=5")</f>
        <v>11</v>
      </c>
      <c r="AD41" s="49">
        <f t="shared" si="20"/>
        <v>4</v>
      </c>
    </row>
    <row r="42" spans="1:32" ht="22.5" x14ac:dyDescent="0.2">
      <c r="A42" s="35" t="s">
        <v>54</v>
      </c>
      <c r="B42" s="49">
        <f t="shared" ref="B42:F42" si="23">COUNTIFS(B4:B29,"&lt;=15",B4:B29,"&gt;5")</f>
        <v>7</v>
      </c>
      <c r="C42" s="49">
        <f t="shared" si="23"/>
        <v>12</v>
      </c>
      <c r="D42" s="49">
        <f t="shared" si="23"/>
        <v>11</v>
      </c>
      <c r="E42" s="49">
        <f t="shared" si="23"/>
        <v>15</v>
      </c>
      <c r="F42" s="49">
        <f t="shared" si="23"/>
        <v>12</v>
      </c>
      <c r="G42" s="49">
        <f>COUNTIFS(G4:G29,"&lt;=15",G4:G29,"&gt;5")</f>
        <v>13</v>
      </c>
      <c r="H42" s="49">
        <f t="shared" ref="H42:AD42" si="24">COUNTIFS(H4:H29,"&lt;=15",H4:H29,"&gt;5")</f>
        <v>16</v>
      </c>
      <c r="I42" s="49">
        <f t="shared" si="24"/>
        <v>16</v>
      </c>
      <c r="J42" s="49">
        <f t="shared" si="24"/>
        <v>17</v>
      </c>
      <c r="K42" s="49">
        <f t="shared" si="24"/>
        <v>20</v>
      </c>
      <c r="L42" s="49">
        <f t="shared" si="24"/>
        <v>22</v>
      </c>
      <c r="M42" s="49">
        <f t="shared" si="24"/>
        <v>22</v>
      </c>
      <c r="N42" s="49">
        <f t="shared" si="24"/>
        <v>21</v>
      </c>
      <c r="O42" s="49">
        <f t="shared" si="24"/>
        <v>21</v>
      </c>
      <c r="P42" s="49">
        <f t="shared" si="24"/>
        <v>18</v>
      </c>
      <c r="Q42" s="49">
        <f t="shared" si="24"/>
        <v>15</v>
      </c>
      <c r="R42" s="49">
        <f t="shared" si="24"/>
        <v>15</v>
      </c>
      <c r="S42" s="49">
        <f t="shared" si="24"/>
        <v>16</v>
      </c>
      <c r="T42" s="49">
        <f t="shared" si="24"/>
        <v>16</v>
      </c>
      <c r="U42" s="49">
        <f t="shared" si="24"/>
        <v>15</v>
      </c>
      <c r="V42" s="49">
        <f t="shared" si="24"/>
        <v>13</v>
      </c>
      <c r="W42" s="49">
        <f t="shared" si="24"/>
        <v>14</v>
      </c>
      <c r="X42" s="49">
        <f t="shared" si="24"/>
        <v>16</v>
      </c>
      <c r="Y42" s="49">
        <f t="shared" si="24"/>
        <v>15</v>
      </c>
      <c r="Z42" s="49">
        <f t="shared" si="24"/>
        <v>15</v>
      </c>
      <c r="AA42" s="49">
        <f t="shared" ref="AA42:AB42" si="25">COUNTIFS(AA4:AA29,"&lt;=15",AA4:AA29,"&gt;5")</f>
        <v>14</v>
      </c>
      <c r="AB42" s="49">
        <f t="shared" si="25"/>
        <v>15</v>
      </c>
      <c r="AC42" s="49">
        <f t="shared" ref="AC42" si="26">COUNTIFS(AC4:AC29,"&lt;=15",AC4:AC29,"&gt;5")</f>
        <v>13</v>
      </c>
      <c r="AD42" s="49">
        <f t="shared" si="24"/>
        <v>21</v>
      </c>
    </row>
    <row r="43" spans="1:32" ht="22.5" x14ac:dyDescent="0.2">
      <c r="A43" s="35" t="s">
        <v>55</v>
      </c>
      <c r="B43" s="49">
        <f t="shared" ref="B43:F43" si="27">COUNTIFS(B4:B29,"&lt;=25",B4:B29,"&gt;15")</f>
        <v>1</v>
      </c>
      <c r="C43" s="49">
        <f t="shared" si="27"/>
        <v>2</v>
      </c>
      <c r="D43" s="49">
        <f t="shared" si="27"/>
        <v>4</v>
      </c>
      <c r="E43" s="49">
        <f t="shared" si="27"/>
        <v>3</v>
      </c>
      <c r="F43" s="49">
        <f t="shared" si="27"/>
        <v>5</v>
      </c>
      <c r="G43" s="49">
        <f>COUNTIFS(G4:G29,"&lt;=25",G4:G29,"&gt;15")</f>
        <v>5</v>
      </c>
      <c r="H43" s="49">
        <f t="shared" ref="H43:AD43" si="28">COUNTIFS(H4:H29,"&lt;=25",H4:H29,"&gt;15")</f>
        <v>5</v>
      </c>
      <c r="I43" s="49">
        <f t="shared" si="28"/>
        <v>4</v>
      </c>
      <c r="J43" s="49">
        <f t="shared" si="28"/>
        <v>2</v>
      </c>
      <c r="K43" s="49">
        <f t="shared" si="28"/>
        <v>1</v>
      </c>
      <c r="L43" s="49">
        <f t="shared" si="28"/>
        <v>1</v>
      </c>
      <c r="M43" s="49">
        <f t="shared" si="28"/>
        <v>1</v>
      </c>
      <c r="N43" s="49">
        <f t="shared" si="28"/>
        <v>1</v>
      </c>
      <c r="O43" s="49">
        <f t="shared" si="28"/>
        <v>1</v>
      </c>
      <c r="P43" s="49">
        <f t="shared" si="28"/>
        <v>2</v>
      </c>
      <c r="Q43" s="49">
        <f t="shared" si="28"/>
        <v>0</v>
      </c>
      <c r="R43" s="49">
        <f t="shared" si="28"/>
        <v>1</v>
      </c>
      <c r="S43" s="49">
        <f t="shared" si="28"/>
        <v>0</v>
      </c>
      <c r="T43" s="49">
        <f t="shared" si="28"/>
        <v>0</v>
      </c>
      <c r="U43" s="49">
        <f t="shared" si="28"/>
        <v>0</v>
      </c>
      <c r="V43" s="49">
        <f t="shared" si="28"/>
        <v>0</v>
      </c>
      <c r="W43" s="49">
        <f t="shared" si="28"/>
        <v>0</v>
      </c>
      <c r="X43" s="49">
        <f t="shared" si="28"/>
        <v>0</v>
      </c>
      <c r="Y43" s="49">
        <f t="shared" si="28"/>
        <v>0</v>
      </c>
      <c r="Z43" s="49">
        <f t="shared" si="28"/>
        <v>0</v>
      </c>
      <c r="AA43" s="49">
        <f t="shared" ref="AA43:AB43" si="29">COUNTIFS(AA4:AA29,"&lt;=25",AA4:AA29,"&gt;15")</f>
        <v>0</v>
      </c>
      <c r="AB43" s="49">
        <f t="shared" si="29"/>
        <v>0</v>
      </c>
      <c r="AC43" s="49">
        <f t="shared" ref="AC43" si="30">COUNTIFS(AC4:AC29,"&lt;=25",AC4:AC29,"&gt;15")</f>
        <v>0</v>
      </c>
      <c r="AD43" s="49">
        <f t="shared" si="28"/>
        <v>0</v>
      </c>
    </row>
    <row r="44" spans="1:32" ht="22.5" x14ac:dyDescent="0.2">
      <c r="A44" s="35" t="s">
        <v>56</v>
      </c>
      <c r="B44" s="34">
        <f t="shared" ref="B44:F44" si="31">COUNTIFS(B4:B29,"&gt;25")</f>
        <v>1</v>
      </c>
      <c r="C44" s="34">
        <f t="shared" si="31"/>
        <v>1</v>
      </c>
      <c r="D44" s="34">
        <f t="shared" si="31"/>
        <v>0</v>
      </c>
      <c r="E44" s="34">
        <f t="shared" si="31"/>
        <v>0</v>
      </c>
      <c r="F44" s="34">
        <f t="shared" si="31"/>
        <v>0</v>
      </c>
      <c r="G44" s="34">
        <f>COUNTIFS(G4:G29,"&gt;25")</f>
        <v>0</v>
      </c>
      <c r="H44" s="34">
        <f t="shared" ref="H44:AD44" si="32">COUNTIFS(H4:H29,"&gt;25")</f>
        <v>0</v>
      </c>
      <c r="I44" s="34">
        <f t="shared" si="32"/>
        <v>0</v>
      </c>
      <c r="J44" s="34">
        <f t="shared" si="32"/>
        <v>0</v>
      </c>
      <c r="K44" s="34">
        <f t="shared" si="32"/>
        <v>0</v>
      </c>
      <c r="L44" s="34">
        <f t="shared" si="32"/>
        <v>0</v>
      </c>
      <c r="M44" s="34">
        <f t="shared" si="32"/>
        <v>0</v>
      </c>
      <c r="N44" s="34">
        <f t="shared" si="32"/>
        <v>0</v>
      </c>
      <c r="O44" s="34">
        <f t="shared" si="32"/>
        <v>0</v>
      </c>
      <c r="P44" s="34">
        <f t="shared" si="32"/>
        <v>0</v>
      </c>
      <c r="Q44" s="34">
        <f t="shared" si="32"/>
        <v>1</v>
      </c>
      <c r="R44" s="34">
        <f t="shared" si="32"/>
        <v>0</v>
      </c>
      <c r="S44" s="34">
        <f t="shared" si="32"/>
        <v>0</v>
      </c>
      <c r="T44" s="34">
        <f t="shared" si="32"/>
        <v>0</v>
      </c>
      <c r="U44" s="34">
        <f t="shared" si="32"/>
        <v>0</v>
      </c>
      <c r="V44" s="34">
        <f t="shared" si="32"/>
        <v>0</v>
      </c>
      <c r="W44" s="34">
        <f t="shared" si="32"/>
        <v>0</v>
      </c>
      <c r="X44" s="34">
        <f t="shared" si="32"/>
        <v>0</v>
      </c>
      <c r="Y44" s="34">
        <f t="shared" si="32"/>
        <v>0</v>
      </c>
      <c r="Z44" s="34">
        <f t="shared" si="32"/>
        <v>0</v>
      </c>
      <c r="AA44" s="34">
        <f t="shared" ref="AA44:AB44" si="33">COUNTIFS(AA4:AA29,"&gt;25")</f>
        <v>0</v>
      </c>
      <c r="AB44" s="34">
        <f t="shared" si="33"/>
        <v>0</v>
      </c>
      <c r="AC44" s="34">
        <f t="shared" ref="AC44" si="34">COUNTIFS(AC4:AC29,"&gt;25")</f>
        <v>0</v>
      </c>
      <c r="AD44" s="34">
        <f t="shared" si="32"/>
        <v>0</v>
      </c>
    </row>
    <row r="45" spans="1:32" x14ac:dyDescent="0.2">
      <c r="A45" s="2" t="s">
        <v>39</v>
      </c>
      <c r="B45" s="34">
        <f>COUNTIF(B4:B29,"&lt;=0")+COUNTIF(B4:B29,"&gt;0")</f>
        <v>11</v>
      </c>
      <c r="C45" s="34">
        <f t="shared" ref="C45:O45" si="35">COUNTIF(C4:C29,"&lt;=0")+COUNTIF(C4:C29,"&gt;0")</f>
        <v>16</v>
      </c>
      <c r="D45" s="34">
        <f t="shared" si="35"/>
        <v>16</v>
      </c>
      <c r="E45" s="34">
        <f t="shared" si="35"/>
        <v>19</v>
      </c>
      <c r="F45" s="34">
        <f t="shared" si="35"/>
        <v>18</v>
      </c>
      <c r="G45" s="34">
        <f t="shared" si="35"/>
        <v>19</v>
      </c>
      <c r="H45" s="34">
        <f t="shared" si="35"/>
        <v>21</v>
      </c>
      <c r="I45" s="34">
        <f t="shared" si="35"/>
        <v>21</v>
      </c>
      <c r="J45" s="34">
        <f t="shared" si="35"/>
        <v>20</v>
      </c>
      <c r="K45" s="34">
        <f t="shared" si="35"/>
        <v>22</v>
      </c>
      <c r="L45" s="34">
        <f t="shared" si="35"/>
        <v>24</v>
      </c>
      <c r="M45" s="34">
        <f t="shared" si="35"/>
        <v>24</v>
      </c>
      <c r="N45" s="34">
        <f t="shared" si="35"/>
        <v>24</v>
      </c>
      <c r="O45" s="34">
        <f t="shared" si="35"/>
        <v>24</v>
      </c>
      <c r="P45" s="34">
        <f t="shared" ref="P45:AD45" si="36">COUNTIF(P4:P29,"&lt;=0")+COUNTIF(P4:P29,"&gt;0")</f>
        <v>24</v>
      </c>
      <c r="Q45" s="34">
        <f t="shared" si="36"/>
        <v>23</v>
      </c>
      <c r="R45" s="34">
        <f t="shared" si="36"/>
        <v>23</v>
      </c>
      <c r="S45" s="34">
        <f t="shared" si="36"/>
        <v>23</v>
      </c>
      <c r="T45" s="34">
        <f t="shared" si="36"/>
        <v>23</v>
      </c>
      <c r="U45" s="34">
        <f t="shared" si="36"/>
        <v>23</v>
      </c>
      <c r="V45" s="34">
        <f t="shared" si="36"/>
        <v>23</v>
      </c>
      <c r="W45" s="34">
        <f t="shared" ref="W45:X45" si="37">COUNTIF(W4:W29,"&lt;=0")+COUNTIF(W4:W29,"&gt;0")</f>
        <v>23</v>
      </c>
      <c r="X45" s="34">
        <f t="shared" si="37"/>
        <v>24</v>
      </c>
      <c r="Y45" s="34">
        <f t="shared" ref="Y45:Z45" si="38">COUNTIF(Y4:Y29,"&lt;=0")+COUNTIF(Y4:Y29,"&gt;0")</f>
        <v>24</v>
      </c>
      <c r="Z45" s="34">
        <f t="shared" si="38"/>
        <v>25</v>
      </c>
      <c r="AA45" s="34">
        <f t="shared" ref="AA45:AB45" si="39">COUNTIF(AA4:AA29,"&lt;=0")+COUNTIF(AA4:AA29,"&gt;0")</f>
        <v>25</v>
      </c>
      <c r="AB45" s="34">
        <f t="shared" si="39"/>
        <v>25</v>
      </c>
      <c r="AC45" s="34">
        <f t="shared" ref="AC45" si="40">COUNTIF(AC4:AC29,"&lt;=0")+COUNTIF(AC4:AC29,"&gt;0")</f>
        <v>24</v>
      </c>
      <c r="AD45" s="34">
        <f t="shared" si="36"/>
        <v>25</v>
      </c>
    </row>
    <row r="46" spans="1:32" ht="15" customHeight="1" x14ac:dyDescent="0.2"/>
  </sheetData>
  <autoFilter ref="A3:AD29"/>
  <phoneticPr fontId="4" type="noConversion"/>
  <conditionalFormatting sqref="B45:W45 AD45">
    <cfRule type="cellIs" dxfId="19" priority="5" stopIfTrue="1" operator="notEqual">
      <formula>SUM(B41:B44)</formula>
    </cfRule>
  </conditionalFormatting>
  <conditionalFormatting sqref="C36">
    <cfRule type="expression" dxfId="18" priority="4" stopIfTrue="1">
      <formula>OR(C36&lt;&gt;0,C36=0)</formula>
    </cfRule>
  </conditionalFormatting>
  <conditionalFormatting sqref="D36:W36 AD36">
    <cfRule type="expression" dxfId="17" priority="3" stopIfTrue="1">
      <formula>OR(D36&lt;&gt;0,D36=0)</formula>
    </cfRule>
  </conditionalFormatting>
  <conditionalFormatting sqref="X45:AC45">
    <cfRule type="cellIs" dxfId="16" priority="2" stopIfTrue="1" operator="notEqual">
      <formula>SUM(X41:X44)</formula>
    </cfRule>
  </conditionalFormatting>
  <conditionalFormatting sqref="X36:AC36">
    <cfRule type="expression" dxfId="15" priority="1" stopIfTrue="1">
      <formula>OR(X36&lt;&gt;0,X36=0)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&amp;CKapitaldienstanteil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4" r:id="rId4" name="Group Box 50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zoomScaleNormal="100" workbookViewId="0">
      <pane ySplit="2" topLeftCell="A18" activePane="bottomLeft" state="frozen"/>
      <selection pane="bottomLeft" activeCell="S31" sqref="S31"/>
    </sheetView>
  </sheetViews>
  <sheetFormatPr baseColWidth="10" defaultColWidth="11.42578125" defaultRowHeight="11.25" x14ac:dyDescent="0.2"/>
  <cols>
    <col min="1" max="1" width="15.7109375" style="2" customWidth="1"/>
    <col min="2" max="21" width="6.7109375" style="2" customWidth="1"/>
    <col min="22" max="22" width="7.85546875" style="2" customWidth="1"/>
    <col min="23" max="28" width="6.7109375" style="2" customWidth="1"/>
    <col min="29" max="16384" width="11.42578125" style="2"/>
  </cols>
  <sheetData>
    <row r="1" spans="1:22" ht="15" customHeight="1" x14ac:dyDescent="0.2">
      <c r="A1" s="1" t="s">
        <v>32</v>
      </c>
      <c r="B1" s="28" t="s">
        <v>57</v>
      </c>
      <c r="C1" s="28" t="s">
        <v>57</v>
      </c>
      <c r="D1" s="28" t="s">
        <v>57</v>
      </c>
      <c r="E1" s="28" t="s">
        <v>57</v>
      </c>
      <c r="F1" s="28" t="s">
        <v>57</v>
      </c>
      <c r="G1" s="28" t="s">
        <v>57</v>
      </c>
      <c r="H1" s="28" t="s">
        <v>57</v>
      </c>
      <c r="I1" s="28" t="s">
        <v>57</v>
      </c>
      <c r="J1" s="28" t="s">
        <v>57</v>
      </c>
      <c r="K1" s="28" t="s">
        <v>57</v>
      </c>
      <c r="L1" s="28" t="s">
        <v>57</v>
      </c>
      <c r="M1" s="28" t="s">
        <v>57</v>
      </c>
      <c r="N1" s="28" t="s">
        <v>57</v>
      </c>
      <c r="O1" s="28" t="s">
        <v>57</v>
      </c>
      <c r="P1" s="28" t="s">
        <v>57</v>
      </c>
      <c r="Q1" s="28" t="s">
        <v>57</v>
      </c>
      <c r="R1" s="28" t="s">
        <v>57</v>
      </c>
      <c r="S1" s="28" t="s">
        <v>57</v>
      </c>
      <c r="T1" s="28" t="s">
        <v>57</v>
      </c>
    </row>
    <row r="2" spans="1:22" ht="15" customHeight="1" x14ac:dyDescent="0.2">
      <c r="A2" s="24" t="s">
        <v>34</v>
      </c>
      <c r="B2" s="24">
        <v>2001</v>
      </c>
      <c r="C2" s="24">
        <f t="shared" ref="C2:S2" si="0">B2+1</f>
        <v>2002</v>
      </c>
      <c r="D2" s="24">
        <f t="shared" si="0"/>
        <v>2003</v>
      </c>
      <c r="E2" s="24">
        <f t="shared" si="0"/>
        <v>2004</v>
      </c>
      <c r="F2" s="24">
        <f t="shared" si="0"/>
        <v>2005</v>
      </c>
      <c r="G2" s="24">
        <f t="shared" si="0"/>
        <v>2006</v>
      </c>
      <c r="H2" s="24">
        <f t="shared" si="0"/>
        <v>2007</v>
      </c>
      <c r="I2" s="24">
        <f t="shared" si="0"/>
        <v>2008</v>
      </c>
      <c r="J2" s="24">
        <f t="shared" si="0"/>
        <v>2009</v>
      </c>
      <c r="K2" s="24">
        <f t="shared" si="0"/>
        <v>2010</v>
      </c>
      <c r="L2" s="24">
        <f t="shared" si="0"/>
        <v>2011</v>
      </c>
      <c r="M2" s="24">
        <f t="shared" si="0"/>
        <v>2012</v>
      </c>
      <c r="N2" s="24">
        <f t="shared" si="0"/>
        <v>2013</v>
      </c>
      <c r="O2" s="24">
        <f t="shared" si="0"/>
        <v>2014</v>
      </c>
      <c r="P2" s="24">
        <f t="shared" si="0"/>
        <v>2015</v>
      </c>
      <c r="Q2" s="24">
        <f t="shared" si="0"/>
        <v>2016</v>
      </c>
      <c r="R2" s="24">
        <f t="shared" si="0"/>
        <v>2017</v>
      </c>
      <c r="S2" s="24">
        <f t="shared" si="0"/>
        <v>2018</v>
      </c>
      <c r="T2" s="24" t="s">
        <v>86</v>
      </c>
      <c r="V2" s="45" t="str">
        <f>'Degré d''autofinancement'!AF2</f>
        <v>2018-15</v>
      </c>
    </row>
    <row r="3" spans="1:22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0"/>
    </row>
    <row r="4" spans="1:22" ht="15" customHeight="1" x14ac:dyDescent="0.2">
      <c r="A4" s="4" t="s">
        <v>0</v>
      </c>
      <c r="B4" s="5" t="s">
        <v>1</v>
      </c>
      <c r="C4" s="5">
        <v>156.80000000000001</v>
      </c>
      <c r="D4" s="5">
        <v>150.9</v>
      </c>
      <c r="E4" s="6">
        <v>149</v>
      </c>
      <c r="F4" s="6">
        <v>143</v>
      </c>
      <c r="G4" s="6">
        <v>160.30000000000001</v>
      </c>
      <c r="H4" s="6">
        <v>57.7</v>
      </c>
      <c r="I4" s="6">
        <v>49.1</v>
      </c>
      <c r="J4" s="6">
        <v>49</v>
      </c>
      <c r="K4" s="6">
        <v>43.3</v>
      </c>
      <c r="L4" s="6">
        <v>37</v>
      </c>
      <c r="M4" s="6">
        <v>36.4</v>
      </c>
      <c r="N4" s="6">
        <v>40.200000000000003</v>
      </c>
      <c r="O4" s="6">
        <v>59.6</v>
      </c>
      <c r="P4" s="6">
        <v>66</v>
      </c>
      <c r="Q4" s="6">
        <v>79.2</v>
      </c>
      <c r="R4" s="6">
        <v>82.9</v>
      </c>
      <c r="S4" s="6">
        <v>81.400000000000006</v>
      </c>
      <c r="T4" s="31">
        <f>AVERAGE(B4:S4)</f>
        <v>84.811764705882368</v>
      </c>
      <c r="V4" s="25">
        <f>P4-S4</f>
        <v>-15.400000000000006</v>
      </c>
    </row>
    <row r="5" spans="1:22" ht="15" customHeight="1" x14ac:dyDescent="0.2">
      <c r="A5" s="22" t="s">
        <v>2</v>
      </c>
      <c r="B5" s="23" t="s">
        <v>1</v>
      </c>
      <c r="C5" s="23" t="s">
        <v>1</v>
      </c>
      <c r="D5" s="23" t="s">
        <v>1</v>
      </c>
      <c r="E5" s="23">
        <v>151</v>
      </c>
      <c r="F5" s="23">
        <v>148</v>
      </c>
      <c r="G5" s="23">
        <v>98.8</v>
      </c>
      <c r="H5" s="23">
        <v>77.3</v>
      </c>
      <c r="I5" s="23">
        <v>90.8</v>
      </c>
      <c r="J5" s="23">
        <v>86.7</v>
      </c>
      <c r="K5" s="23">
        <v>84.6</v>
      </c>
      <c r="L5" s="23">
        <v>81.7</v>
      </c>
      <c r="M5" s="23">
        <v>86.7</v>
      </c>
      <c r="N5" s="23">
        <v>85.7</v>
      </c>
      <c r="O5" s="23">
        <v>71.2</v>
      </c>
      <c r="P5" s="23">
        <v>69.599999999999994</v>
      </c>
      <c r="Q5" s="23">
        <v>72.2</v>
      </c>
      <c r="R5" s="23">
        <v>72.400000000000006</v>
      </c>
      <c r="S5" s="23">
        <v>70</v>
      </c>
      <c r="T5" s="31">
        <f t="shared" ref="T5:T29" si="1">AVERAGE(B5:S5)</f>
        <v>89.780000000000015</v>
      </c>
      <c r="V5" s="25">
        <f t="shared" ref="V5:V29" si="2">P5-S5</f>
        <v>-0.40000000000000568</v>
      </c>
    </row>
    <row r="6" spans="1:22" ht="15" customHeight="1" x14ac:dyDescent="0.2">
      <c r="A6" s="4" t="s">
        <v>4</v>
      </c>
      <c r="B6" s="5" t="s">
        <v>1</v>
      </c>
      <c r="C6" s="5" t="s">
        <v>1</v>
      </c>
      <c r="D6" s="5" t="s">
        <v>1</v>
      </c>
      <c r="E6" s="6">
        <v>130</v>
      </c>
      <c r="F6" s="6">
        <v>142</v>
      </c>
      <c r="G6" s="6">
        <v>53</v>
      </c>
      <c r="H6" s="6">
        <v>50</v>
      </c>
      <c r="I6" s="6">
        <v>40.67</v>
      </c>
      <c r="J6" s="6">
        <v>39.6</v>
      </c>
      <c r="K6" s="6">
        <v>25.05</v>
      </c>
      <c r="L6" s="6">
        <v>25.45</v>
      </c>
      <c r="M6" s="6">
        <v>22.68</v>
      </c>
      <c r="N6" s="6">
        <v>20.6</v>
      </c>
      <c r="O6" s="6">
        <v>24.41</v>
      </c>
      <c r="P6" s="6">
        <v>44.84</v>
      </c>
      <c r="Q6" s="6">
        <v>41.7</v>
      </c>
      <c r="R6" s="6">
        <v>36.06</v>
      </c>
      <c r="S6" s="6">
        <v>41.11</v>
      </c>
      <c r="T6" s="31">
        <f t="shared" si="1"/>
        <v>49.14466666666668</v>
      </c>
      <c r="V6" s="25">
        <f t="shared" si="2"/>
        <v>3.730000000000004</v>
      </c>
    </row>
    <row r="7" spans="1:22" ht="15" customHeight="1" x14ac:dyDescent="0.2">
      <c r="A7" s="22" t="s">
        <v>5</v>
      </c>
      <c r="B7" s="23">
        <v>55</v>
      </c>
      <c r="C7" s="23">
        <v>58.2</v>
      </c>
      <c r="D7" s="23">
        <v>58.2</v>
      </c>
      <c r="E7" s="23">
        <v>98.003615010982458</v>
      </c>
      <c r="F7" s="23">
        <v>93.921886249005667</v>
      </c>
      <c r="G7" s="23">
        <v>89.63333599885118</v>
      </c>
      <c r="H7" s="23">
        <v>88.362076981703879</v>
      </c>
      <c r="I7" s="23">
        <v>84.000188478339538</v>
      </c>
      <c r="J7" s="23">
        <v>86.1</v>
      </c>
      <c r="K7" s="23">
        <v>86.138464128036446</v>
      </c>
      <c r="L7" s="23">
        <v>86.138464128036446</v>
      </c>
      <c r="M7" s="23">
        <v>72.652046993042021</v>
      </c>
      <c r="N7" s="23">
        <v>76.251555711862807</v>
      </c>
      <c r="O7" s="23">
        <v>64.5</v>
      </c>
      <c r="P7" s="23">
        <v>69.3</v>
      </c>
      <c r="Q7" s="23">
        <v>70</v>
      </c>
      <c r="R7" s="23">
        <v>74.5</v>
      </c>
      <c r="S7" s="23">
        <v>76.400000000000006</v>
      </c>
      <c r="T7" s="31">
        <f t="shared" si="1"/>
        <v>77.07231298221447</v>
      </c>
      <c r="V7" s="25">
        <f t="shared" si="2"/>
        <v>-7.1000000000000085</v>
      </c>
    </row>
    <row r="8" spans="1:22" ht="15" customHeight="1" x14ac:dyDescent="0.2">
      <c r="A8" s="4" t="s">
        <v>6</v>
      </c>
      <c r="B8" s="5" t="s">
        <v>1</v>
      </c>
      <c r="C8" s="5">
        <v>148.5</v>
      </c>
      <c r="D8" s="5">
        <v>137.1</v>
      </c>
      <c r="E8" s="6">
        <v>141.6</v>
      </c>
      <c r="F8" s="6">
        <v>129</v>
      </c>
      <c r="G8" s="6">
        <v>123.7</v>
      </c>
      <c r="H8" s="6">
        <v>111.7</v>
      </c>
      <c r="I8" s="6">
        <v>107.8</v>
      </c>
      <c r="J8" s="6">
        <v>114</v>
      </c>
      <c r="K8" s="6">
        <v>100.6</v>
      </c>
      <c r="L8" s="6">
        <v>107.6</v>
      </c>
      <c r="M8" s="6">
        <v>133.69999999999999</v>
      </c>
      <c r="N8" s="6">
        <v>189.3</v>
      </c>
      <c r="O8" s="6">
        <v>182.6</v>
      </c>
      <c r="P8" s="6">
        <v>171</v>
      </c>
      <c r="Q8" s="6">
        <v>177.5</v>
      </c>
      <c r="R8" s="6">
        <v>177</v>
      </c>
      <c r="S8" s="6">
        <v>171.4</v>
      </c>
      <c r="T8" s="31">
        <f t="shared" si="1"/>
        <v>142.59411764705882</v>
      </c>
      <c r="V8" s="25">
        <f t="shared" si="2"/>
        <v>-0.40000000000000568</v>
      </c>
    </row>
    <row r="9" spans="1:22" ht="15" customHeight="1" x14ac:dyDescent="0.2">
      <c r="A9" s="22" t="s">
        <v>7</v>
      </c>
      <c r="B9" s="23" t="s">
        <v>1</v>
      </c>
      <c r="C9" s="23">
        <v>109.9</v>
      </c>
      <c r="D9" s="23">
        <v>105.8</v>
      </c>
      <c r="E9" s="23">
        <v>106.8</v>
      </c>
      <c r="F9" s="23">
        <v>103.5</v>
      </c>
      <c r="G9" s="23">
        <v>90.1</v>
      </c>
      <c r="H9" s="23">
        <v>87.9</v>
      </c>
      <c r="I9" s="23">
        <v>86.3</v>
      </c>
      <c r="J9" s="23">
        <v>87.9</v>
      </c>
      <c r="K9" s="23">
        <v>88.5</v>
      </c>
      <c r="L9" s="23">
        <v>94.5</v>
      </c>
      <c r="M9" s="23">
        <v>93.2</v>
      </c>
      <c r="N9" s="23">
        <v>93</v>
      </c>
      <c r="O9" s="23">
        <v>61.4</v>
      </c>
      <c r="P9" s="23">
        <v>62.2</v>
      </c>
      <c r="Q9" s="23">
        <v>100.6</v>
      </c>
      <c r="R9" s="23">
        <v>100.3</v>
      </c>
      <c r="S9" s="23">
        <v>101.3</v>
      </c>
      <c r="T9" s="31">
        <f t="shared" si="1"/>
        <v>92.541176470588226</v>
      </c>
      <c r="V9" s="25">
        <f t="shared" si="2"/>
        <v>-39.099999999999994</v>
      </c>
    </row>
    <row r="10" spans="1:22" ht="15" customHeight="1" x14ac:dyDescent="0.2">
      <c r="A10" s="4" t="s">
        <v>8</v>
      </c>
      <c r="B10" s="5" t="s">
        <v>1</v>
      </c>
      <c r="C10" s="5" t="s">
        <v>1</v>
      </c>
      <c r="D10" s="5" t="s">
        <v>1</v>
      </c>
      <c r="E10" s="6">
        <v>104.6</v>
      </c>
      <c r="F10" s="6">
        <v>112.96</v>
      </c>
      <c r="G10" s="6">
        <v>112.5</v>
      </c>
      <c r="H10" s="6">
        <v>116.97</v>
      </c>
      <c r="I10" s="6">
        <v>108.11</v>
      </c>
      <c r="J10" s="6">
        <v>104</v>
      </c>
      <c r="K10" s="6">
        <v>99.1</v>
      </c>
      <c r="L10" s="6">
        <v>95.49</v>
      </c>
      <c r="M10" s="6">
        <v>96.33</v>
      </c>
      <c r="N10" s="6">
        <v>96.5</v>
      </c>
      <c r="O10" s="6">
        <v>99.85</v>
      </c>
      <c r="P10" s="6">
        <v>99.8</v>
      </c>
      <c r="Q10" s="6">
        <v>99.6</v>
      </c>
      <c r="R10" s="6">
        <v>99.1</v>
      </c>
      <c r="S10" s="6">
        <v>97.04</v>
      </c>
      <c r="T10" s="31">
        <f t="shared" si="1"/>
        <v>102.79666666666664</v>
      </c>
      <c r="V10" s="25">
        <f t="shared" si="2"/>
        <v>2.7599999999999909</v>
      </c>
    </row>
    <row r="11" spans="1:22" ht="15" customHeight="1" x14ac:dyDescent="0.2">
      <c r="A11" s="22" t="s">
        <v>9</v>
      </c>
      <c r="B11" s="23">
        <v>168.7</v>
      </c>
      <c r="C11" s="23">
        <v>159</v>
      </c>
      <c r="D11" s="23">
        <v>161.6</v>
      </c>
      <c r="E11" s="23">
        <v>151.69999999999999</v>
      </c>
      <c r="F11" s="23">
        <v>150.4</v>
      </c>
      <c r="G11" s="23">
        <v>138.5</v>
      </c>
      <c r="H11" s="23">
        <v>137.30000000000001</v>
      </c>
      <c r="I11" s="23">
        <v>116.9</v>
      </c>
      <c r="J11" s="23">
        <v>112.5</v>
      </c>
      <c r="K11" s="23">
        <v>110.6</v>
      </c>
      <c r="L11" s="23">
        <v>112.6</v>
      </c>
      <c r="M11" s="23">
        <v>110.9</v>
      </c>
      <c r="N11" s="23">
        <v>105.6</v>
      </c>
      <c r="O11" s="23">
        <v>105.2</v>
      </c>
      <c r="P11" s="23">
        <v>105.5</v>
      </c>
      <c r="Q11" s="23">
        <v>113.3</v>
      </c>
      <c r="R11" s="23">
        <v>109.8</v>
      </c>
      <c r="S11" s="23">
        <v>112.2</v>
      </c>
      <c r="T11" s="31">
        <f t="shared" si="1"/>
        <v>126.79444444444445</v>
      </c>
      <c r="V11" s="25">
        <f t="shared" si="2"/>
        <v>-6.7000000000000028</v>
      </c>
    </row>
    <row r="12" spans="1:22" ht="15" customHeight="1" x14ac:dyDescent="0.2">
      <c r="A12" s="4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6">
        <v>89.1</v>
      </c>
      <c r="G12" s="6">
        <v>80.7</v>
      </c>
      <c r="H12" s="6">
        <v>74.900000000000006</v>
      </c>
      <c r="I12" s="6">
        <v>81.900000000000006</v>
      </c>
      <c r="J12" s="6">
        <v>77.2</v>
      </c>
      <c r="K12" s="6">
        <v>72.599999999999994</v>
      </c>
      <c r="L12" s="6">
        <v>91.6</v>
      </c>
      <c r="M12" s="6">
        <v>80.099999999999994</v>
      </c>
      <c r="N12" s="6">
        <v>84.3</v>
      </c>
      <c r="O12" s="6">
        <v>69.8</v>
      </c>
      <c r="P12" s="6">
        <v>68.7</v>
      </c>
      <c r="Q12" s="6">
        <v>75.5</v>
      </c>
      <c r="R12" s="6">
        <v>82.3</v>
      </c>
      <c r="S12" s="6">
        <v>84.8</v>
      </c>
      <c r="T12" s="31">
        <f t="shared" si="1"/>
        <v>79.535714285714292</v>
      </c>
      <c r="V12" s="25">
        <f t="shared" si="2"/>
        <v>-16.099999999999994</v>
      </c>
    </row>
    <row r="13" spans="1:22" ht="15" customHeight="1" x14ac:dyDescent="0.2">
      <c r="A13" s="22" t="s">
        <v>11</v>
      </c>
      <c r="B13" s="23" t="s">
        <v>1</v>
      </c>
      <c r="C13" s="23" t="s">
        <v>1</v>
      </c>
      <c r="D13" s="23" t="s">
        <v>1</v>
      </c>
      <c r="E13" s="23">
        <v>105.3</v>
      </c>
      <c r="F13" s="23">
        <v>100.2</v>
      </c>
      <c r="G13" s="23">
        <v>105</v>
      </c>
      <c r="H13" s="23">
        <v>94.96</v>
      </c>
      <c r="I13" s="23">
        <v>87.34</v>
      </c>
      <c r="J13" s="23">
        <v>88.22</v>
      </c>
      <c r="K13" s="23">
        <v>85.4</v>
      </c>
      <c r="L13" s="23">
        <v>86.4</v>
      </c>
      <c r="M13" s="23">
        <v>84.1</v>
      </c>
      <c r="N13" s="23">
        <v>80</v>
      </c>
      <c r="O13" s="23">
        <v>78.06</v>
      </c>
      <c r="P13" s="23">
        <v>85.89</v>
      </c>
      <c r="Q13" s="23">
        <v>77.760000000000005</v>
      </c>
      <c r="R13" s="23">
        <v>79.39</v>
      </c>
      <c r="S13" s="23">
        <v>68.94</v>
      </c>
      <c r="T13" s="31">
        <f t="shared" si="1"/>
        <v>87.130666666666684</v>
      </c>
      <c r="V13" s="25">
        <f t="shared" si="2"/>
        <v>16.950000000000003</v>
      </c>
    </row>
    <row r="14" spans="1:22" ht="15" customHeight="1" x14ac:dyDescent="0.2">
      <c r="A14" s="4" t="s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6">
        <v>209</v>
      </c>
      <c r="G14" s="6">
        <v>170.6</v>
      </c>
      <c r="H14" s="6">
        <v>187.6</v>
      </c>
      <c r="I14" s="6">
        <v>191.5</v>
      </c>
      <c r="J14" s="6">
        <v>191.99</v>
      </c>
      <c r="K14" s="6">
        <v>195.73</v>
      </c>
      <c r="L14" s="6">
        <v>192.35</v>
      </c>
      <c r="M14" s="6">
        <v>186.47</v>
      </c>
      <c r="N14" s="6">
        <v>181.51</v>
      </c>
      <c r="O14" s="6">
        <v>172.22</v>
      </c>
      <c r="P14" s="6">
        <v>160.44</v>
      </c>
      <c r="Q14" s="6">
        <v>163.78</v>
      </c>
      <c r="R14" s="6">
        <v>166.87</v>
      </c>
      <c r="S14" s="6">
        <v>164.33</v>
      </c>
      <c r="T14" s="31">
        <f t="shared" si="1"/>
        <v>181.02785714285713</v>
      </c>
      <c r="V14" s="25">
        <f t="shared" si="2"/>
        <v>-3.8900000000000148</v>
      </c>
    </row>
    <row r="15" spans="1:22" ht="15" customHeight="1" x14ac:dyDescent="0.2">
      <c r="A15" s="22" t="s">
        <v>13</v>
      </c>
      <c r="B15" s="23" t="s">
        <v>1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23" t="s">
        <v>1</v>
      </c>
      <c r="T15" s="31" t="s">
        <v>28</v>
      </c>
      <c r="V15" s="25" t="s">
        <v>28</v>
      </c>
    </row>
    <row r="16" spans="1:22" ht="15" customHeight="1" x14ac:dyDescent="0.2">
      <c r="A16" s="4" t="s">
        <v>14</v>
      </c>
      <c r="B16" s="5" t="s">
        <v>1</v>
      </c>
      <c r="C16" s="5" t="s">
        <v>1</v>
      </c>
      <c r="D16" s="5" t="s">
        <v>1</v>
      </c>
      <c r="E16" s="6">
        <v>141.30000000000001</v>
      </c>
      <c r="F16" s="6">
        <v>165.2</v>
      </c>
      <c r="G16" s="6">
        <v>190.7</v>
      </c>
      <c r="H16" s="6">
        <v>167.2</v>
      </c>
      <c r="I16" s="6">
        <v>168.3</v>
      </c>
      <c r="J16" s="6">
        <v>161.9</v>
      </c>
      <c r="K16" s="6">
        <v>155.19999999999999</v>
      </c>
      <c r="L16" s="6">
        <v>147.6</v>
      </c>
      <c r="M16" s="6">
        <v>135</v>
      </c>
      <c r="N16" s="6">
        <v>139.9</v>
      </c>
      <c r="O16" s="6">
        <v>137.6</v>
      </c>
      <c r="P16" s="6">
        <v>140.80000000000001</v>
      </c>
      <c r="Q16" s="6">
        <v>152</v>
      </c>
      <c r="R16" s="6">
        <v>146.1</v>
      </c>
      <c r="S16" s="6">
        <v>150.1</v>
      </c>
      <c r="T16" s="31">
        <f t="shared" si="1"/>
        <v>153.25999999999996</v>
      </c>
      <c r="V16" s="25">
        <f t="shared" si="2"/>
        <v>-9.2999999999999829</v>
      </c>
    </row>
    <row r="17" spans="1:22" ht="15" customHeight="1" x14ac:dyDescent="0.2">
      <c r="A17" s="22" t="s">
        <v>15</v>
      </c>
      <c r="B17" s="23" t="s">
        <v>1</v>
      </c>
      <c r="C17" s="23" t="s">
        <v>1</v>
      </c>
      <c r="D17" s="23" t="s">
        <v>1</v>
      </c>
      <c r="E17" s="23" t="s">
        <v>1</v>
      </c>
      <c r="F17" s="23" t="s">
        <v>3</v>
      </c>
      <c r="G17" s="23" t="s">
        <v>3</v>
      </c>
      <c r="H17" s="23" t="s">
        <v>3</v>
      </c>
      <c r="I17" s="23" t="s">
        <v>1</v>
      </c>
      <c r="J17" s="23" t="s">
        <v>1</v>
      </c>
      <c r="K17" s="23" t="s">
        <v>1</v>
      </c>
      <c r="L17" s="23" t="s">
        <v>1</v>
      </c>
      <c r="M17" s="23">
        <v>85</v>
      </c>
      <c r="N17" s="23">
        <v>77.8</v>
      </c>
      <c r="O17" s="23">
        <v>87.9</v>
      </c>
      <c r="P17" s="23">
        <v>92.6</v>
      </c>
      <c r="Q17" s="23">
        <v>92.6</v>
      </c>
      <c r="R17" s="23">
        <v>96.5</v>
      </c>
      <c r="S17" s="23">
        <v>83.7</v>
      </c>
      <c r="T17" s="31">
        <f t="shared" si="1"/>
        <v>88.01428571428572</v>
      </c>
      <c r="V17" s="25">
        <f t="shared" si="2"/>
        <v>8.8999999999999915</v>
      </c>
    </row>
    <row r="18" spans="1:22" ht="15" customHeight="1" x14ac:dyDescent="0.2">
      <c r="A18" s="4" t="s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6">
        <v>130</v>
      </c>
      <c r="G18" s="6">
        <v>108.3</v>
      </c>
      <c r="H18" s="6">
        <v>98.4</v>
      </c>
      <c r="I18" s="6">
        <v>91.4</v>
      </c>
      <c r="J18" s="6">
        <v>97.8</v>
      </c>
      <c r="K18" s="6">
        <v>90.76</v>
      </c>
      <c r="L18" s="6">
        <v>97.1</v>
      </c>
      <c r="M18" s="6">
        <v>108.54</v>
      </c>
      <c r="N18" s="6">
        <v>96</v>
      </c>
      <c r="O18" s="6">
        <v>97.8</v>
      </c>
      <c r="P18" s="6">
        <v>68</v>
      </c>
      <c r="Q18" s="6">
        <v>65.400000000000006</v>
      </c>
      <c r="R18" s="6">
        <v>59.4</v>
      </c>
      <c r="S18" s="6">
        <v>55.9</v>
      </c>
      <c r="T18" s="31">
        <f t="shared" si="1"/>
        <v>90.342857142857156</v>
      </c>
      <c r="V18" s="25">
        <f t="shared" si="2"/>
        <v>12.100000000000001</v>
      </c>
    </row>
    <row r="19" spans="1:22" ht="15" customHeight="1" x14ac:dyDescent="0.2">
      <c r="A19" s="22" t="s">
        <v>17</v>
      </c>
      <c r="B19" s="23" t="s">
        <v>1</v>
      </c>
      <c r="C19" s="23" t="s">
        <v>1</v>
      </c>
      <c r="D19" s="23" t="s">
        <v>1</v>
      </c>
      <c r="E19" s="23" t="s">
        <v>1</v>
      </c>
      <c r="F19" s="23">
        <v>99.78</v>
      </c>
      <c r="G19" s="23">
        <v>93</v>
      </c>
      <c r="H19" s="23">
        <v>92.6</v>
      </c>
      <c r="I19" s="23">
        <v>86.9</v>
      </c>
      <c r="J19" s="23">
        <v>83.2</v>
      </c>
      <c r="K19" s="23">
        <v>92.2</v>
      </c>
      <c r="L19" s="23">
        <v>89.3</v>
      </c>
      <c r="M19" s="23">
        <v>96.4</v>
      </c>
      <c r="N19" s="23">
        <v>97</v>
      </c>
      <c r="O19" s="23">
        <v>97.1</v>
      </c>
      <c r="P19" s="23">
        <v>97.8</v>
      </c>
      <c r="Q19" s="23">
        <v>84.6</v>
      </c>
      <c r="R19" s="23">
        <v>86.792272427434</v>
      </c>
      <c r="S19" s="23">
        <v>98.09748207459981</v>
      </c>
      <c r="T19" s="31">
        <f t="shared" si="1"/>
        <v>92.483553893002409</v>
      </c>
      <c r="V19" s="25">
        <f t="shared" si="2"/>
        <v>-0.29748207459981302</v>
      </c>
    </row>
    <row r="20" spans="1:22" ht="15" customHeight="1" x14ac:dyDescent="0.2">
      <c r="A20" s="4" t="s">
        <v>18</v>
      </c>
      <c r="B20" s="5" t="s">
        <v>1</v>
      </c>
      <c r="C20" s="5" t="s">
        <v>1</v>
      </c>
      <c r="D20" s="5" t="s">
        <v>1</v>
      </c>
      <c r="E20" s="6">
        <v>66</v>
      </c>
      <c r="F20" s="6">
        <v>64</v>
      </c>
      <c r="G20" s="6">
        <v>57</v>
      </c>
      <c r="H20" s="6">
        <v>48</v>
      </c>
      <c r="I20" s="6">
        <v>40</v>
      </c>
      <c r="J20" s="6">
        <v>57</v>
      </c>
      <c r="K20" s="6">
        <v>38.799999999999997</v>
      </c>
      <c r="L20" s="6">
        <v>38.299999999999997</v>
      </c>
      <c r="M20" s="6">
        <v>41.1</v>
      </c>
      <c r="N20" s="6">
        <v>38.299999999999997</v>
      </c>
      <c r="O20" s="6">
        <v>46.1</v>
      </c>
      <c r="P20" s="6">
        <v>53.4</v>
      </c>
      <c r="Q20" s="6">
        <v>49.2</v>
      </c>
      <c r="R20" s="6">
        <v>52.9</v>
      </c>
      <c r="S20" s="6">
        <v>57.6</v>
      </c>
      <c r="T20" s="31">
        <f t="shared" si="1"/>
        <v>49.846666666666671</v>
      </c>
      <c r="V20" s="25">
        <f t="shared" si="2"/>
        <v>-4.2000000000000028</v>
      </c>
    </row>
    <row r="21" spans="1:22" ht="15" customHeight="1" x14ac:dyDescent="0.2">
      <c r="A21" s="22" t="s">
        <v>19</v>
      </c>
      <c r="B21" s="23" t="s">
        <v>1</v>
      </c>
      <c r="C21" s="23">
        <v>89.4</v>
      </c>
      <c r="D21" s="23">
        <v>84.8</v>
      </c>
      <c r="E21" s="23">
        <v>80</v>
      </c>
      <c r="F21" s="23">
        <v>74.5</v>
      </c>
      <c r="G21" s="23">
        <v>72.8</v>
      </c>
      <c r="H21" s="23">
        <v>66.599999999999994</v>
      </c>
      <c r="I21" s="23">
        <v>63.4</v>
      </c>
      <c r="J21" s="23">
        <v>89.3</v>
      </c>
      <c r="K21" s="23">
        <v>94.6</v>
      </c>
      <c r="L21" s="23">
        <v>58.5</v>
      </c>
      <c r="M21" s="23">
        <v>57.8</v>
      </c>
      <c r="N21" s="23">
        <v>60.8</v>
      </c>
      <c r="O21" s="23">
        <v>63.9</v>
      </c>
      <c r="P21" s="23">
        <v>63.9</v>
      </c>
      <c r="Q21" s="23">
        <v>69</v>
      </c>
      <c r="R21" s="23">
        <v>67.099999999999994</v>
      </c>
      <c r="S21" s="23">
        <v>66.8</v>
      </c>
      <c r="T21" s="31">
        <f t="shared" si="1"/>
        <v>71.95294117647056</v>
      </c>
      <c r="V21" s="25">
        <f t="shared" si="2"/>
        <v>-2.8999999999999986</v>
      </c>
    </row>
    <row r="22" spans="1:22" ht="15" customHeight="1" x14ac:dyDescent="0.2">
      <c r="A22" s="4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6">
        <v>130</v>
      </c>
      <c r="G22" s="6">
        <v>117.8</v>
      </c>
      <c r="H22" s="6">
        <v>107.8</v>
      </c>
      <c r="I22" s="6">
        <v>105</v>
      </c>
      <c r="J22" s="6">
        <v>99.57</v>
      </c>
      <c r="K22" s="6">
        <v>100.3</v>
      </c>
      <c r="L22" s="6">
        <v>102.4</v>
      </c>
      <c r="M22" s="6">
        <v>103.4</v>
      </c>
      <c r="N22" s="6">
        <v>109.3</v>
      </c>
      <c r="O22" s="6">
        <v>105.6</v>
      </c>
      <c r="P22" s="6">
        <v>102.1</v>
      </c>
      <c r="Q22" s="6">
        <v>99.7</v>
      </c>
      <c r="R22" s="6">
        <v>100.8</v>
      </c>
      <c r="S22" s="6">
        <v>106.9</v>
      </c>
      <c r="T22" s="31">
        <f t="shared" si="1"/>
        <v>106.47642857142856</v>
      </c>
      <c r="V22" s="25">
        <f t="shared" si="2"/>
        <v>-4.8000000000000114</v>
      </c>
    </row>
    <row r="23" spans="1:22" ht="15" customHeight="1" x14ac:dyDescent="0.2">
      <c r="A23" s="22" t="s">
        <v>21</v>
      </c>
      <c r="B23" s="23" t="s">
        <v>1</v>
      </c>
      <c r="C23" s="23" t="s">
        <v>1</v>
      </c>
      <c r="D23" s="23" t="s">
        <v>1</v>
      </c>
      <c r="E23" s="23">
        <v>74.900000000000006</v>
      </c>
      <c r="F23" s="23">
        <v>79.7</v>
      </c>
      <c r="G23" s="23">
        <v>74.400000000000006</v>
      </c>
      <c r="H23" s="23">
        <v>62.8</v>
      </c>
      <c r="I23" s="23">
        <v>63.7</v>
      </c>
      <c r="J23" s="23">
        <v>60.9</v>
      </c>
      <c r="K23" s="23">
        <v>56.6</v>
      </c>
      <c r="L23" s="23">
        <v>51.9</v>
      </c>
      <c r="M23" s="23">
        <v>48.9</v>
      </c>
      <c r="N23" s="23">
        <v>50.7</v>
      </c>
      <c r="O23" s="23">
        <v>56.5</v>
      </c>
      <c r="P23" s="23">
        <v>59.8</v>
      </c>
      <c r="Q23" s="23">
        <v>64.3</v>
      </c>
      <c r="R23" s="23">
        <v>79.3</v>
      </c>
      <c r="S23" s="23">
        <v>97.2</v>
      </c>
      <c r="T23" s="31">
        <f t="shared" si="1"/>
        <v>65.44</v>
      </c>
      <c r="V23" s="25">
        <f t="shared" si="2"/>
        <v>-37.400000000000006</v>
      </c>
    </row>
    <row r="24" spans="1:22" ht="15" customHeight="1" x14ac:dyDescent="0.2">
      <c r="A24" s="4" t="s">
        <v>22</v>
      </c>
      <c r="B24" s="5" t="s">
        <v>1</v>
      </c>
      <c r="C24" s="5" t="s">
        <v>1</v>
      </c>
      <c r="D24" s="5" t="s">
        <v>1</v>
      </c>
      <c r="E24" s="6">
        <v>160.5</v>
      </c>
      <c r="F24" s="6">
        <v>166.3</v>
      </c>
      <c r="G24" s="6">
        <v>164.4</v>
      </c>
      <c r="H24" s="6">
        <v>155.69999999999999</v>
      </c>
      <c r="I24" s="6">
        <v>155.5</v>
      </c>
      <c r="J24" s="6">
        <v>138.19999999999999</v>
      </c>
      <c r="K24" s="6">
        <v>137.4</v>
      </c>
      <c r="L24" s="6">
        <v>134.69999999999999</v>
      </c>
      <c r="M24" s="6">
        <v>144.69999999999999</v>
      </c>
      <c r="N24" s="6">
        <v>151.6</v>
      </c>
      <c r="O24" s="6">
        <v>158.19999999999999</v>
      </c>
      <c r="P24" s="6">
        <v>155.4</v>
      </c>
      <c r="Q24" s="6">
        <v>153.9</v>
      </c>
      <c r="R24" s="6">
        <v>151.9</v>
      </c>
      <c r="S24" s="6">
        <v>142.19999999999999</v>
      </c>
      <c r="T24" s="31">
        <f t="shared" si="1"/>
        <v>151.37333333333336</v>
      </c>
      <c r="V24" s="25">
        <f t="shared" si="2"/>
        <v>13.200000000000017</v>
      </c>
    </row>
    <row r="25" spans="1:22" ht="15" customHeight="1" x14ac:dyDescent="0.2">
      <c r="A25" s="22" t="s">
        <v>23</v>
      </c>
      <c r="B25" s="23" t="s">
        <v>1</v>
      </c>
      <c r="C25" s="23" t="s">
        <v>1</v>
      </c>
      <c r="D25" s="23" t="s">
        <v>1</v>
      </c>
      <c r="E25" s="23">
        <v>122.5</v>
      </c>
      <c r="F25" s="23">
        <v>130.1</v>
      </c>
      <c r="G25" s="23">
        <v>124.7</v>
      </c>
      <c r="H25" s="23">
        <v>118.1</v>
      </c>
      <c r="I25" s="23">
        <v>108.7</v>
      </c>
      <c r="J25" s="23">
        <v>98.8</v>
      </c>
      <c r="K25" s="23">
        <v>88.3</v>
      </c>
      <c r="L25" s="23">
        <v>89.9</v>
      </c>
      <c r="M25" s="23">
        <v>98.8</v>
      </c>
      <c r="N25" s="23">
        <v>90.4</v>
      </c>
      <c r="O25" s="23">
        <v>51.1</v>
      </c>
      <c r="P25" s="23">
        <v>62.4</v>
      </c>
      <c r="Q25" s="23">
        <v>70.2</v>
      </c>
      <c r="R25" s="23">
        <v>78.8</v>
      </c>
      <c r="S25" s="23">
        <v>68.3</v>
      </c>
      <c r="T25" s="31">
        <f t="shared" si="1"/>
        <v>93.406666666666666</v>
      </c>
      <c r="V25" s="25">
        <f t="shared" si="2"/>
        <v>-5.8999999999999986</v>
      </c>
    </row>
    <row r="26" spans="1:22" ht="15" customHeight="1" x14ac:dyDescent="0.2">
      <c r="A26" s="4" t="s">
        <v>24</v>
      </c>
      <c r="B26" s="5">
        <v>219.8</v>
      </c>
      <c r="C26" s="5">
        <v>198.6</v>
      </c>
      <c r="D26" s="5">
        <v>197.2</v>
      </c>
      <c r="E26" s="6">
        <v>178.2</v>
      </c>
      <c r="F26" s="6">
        <v>155.19999999999999</v>
      </c>
      <c r="G26" s="6">
        <v>137.19999999999999</v>
      </c>
      <c r="H26" s="6">
        <v>126.7</v>
      </c>
      <c r="I26" s="6">
        <v>90.2</v>
      </c>
      <c r="J26" s="6">
        <v>87.1</v>
      </c>
      <c r="K26" s="6">
        <v>82.56</v>
      </c>
      <c r="L26" s="6">
        <v>77.290000000000006</v>
      </c>
      <c r="M26" s="6">
        <v>89.11</v>
      </c>
      <c r="N26" s="6">
        <v>90.35</v>
      </c>
      <c r="O26" s="6">
        <v>96.008183777897699</v>
      </c>
      <c r="P26" s="6">
        <v>99.77</v>
      </c>
      <c r="Q26" s="6">
        <v>102.38</v>
      </c>
      <c r="R26" s="6">
        <v>101.6</v>
      </c>
      <c r="S26" s="6">
        <v>97.06</v>
      </c>
      <c r="T26" s="31">
        <f t="shared" si="1"/>
        <v>123.68489909877206</v>
      </c>
      <c r="V26" s="25">
        <f t="shared" si="2"/>
        <v>2.7099999999999937</v>
      </c>
    </row>
    <row r="27" spans="1:22" ht="15" customHeight="1" x14ac:dyDescent="0.2">
      <c r="A27" s="22" t="s">
        <v>25</v>
      </c>
      <c r="B27" s="23" t="s">
        <v>1</v>
      </c>
      <c r="C27" s="23" t="s">
        <v>1</v>
      </c>
      <c r="D27" s="23" t="s">
        <v>1</v>
      </c>
      <c r="E27" s="23">
        <v>143.39745475645515</v>
      </c>
      <c r="F27" s="23">
        <v>134.88700765638981</v>
      </c>
      <c r="G27" s="23">
        <v>128.87220941634774</v>
      </c>
      <c r="H27" s="23">
        <v>119.77763641184356</v>
      </c>
      <c r="I27" s="23">
        <v>109.32959345421838</v>
      </c>
      <c r="J27" s="23">
        <v>100.84900326271134</v>
      </c>
      <c r="K27" s="23">
        <v>102.19830005940192</v>
      </c>
      <c r="L27" s="23">
        <v>104.18723521101396</v>
      </c>
      <c r="M27" s="23">
        <v>104.98078966187074</v>
      </c>
      <c r="N27" s="23">
        <v>102.94292004268178</v>
      </c>
      <c r="O27" s="23">
        <v>106.09177222428379</v>
      </c>
      <c r="P27" s="23">
        <v>105.94682623895761</v>
      </c>
      <c r="Q27" s="23">
        <v>109.14460714027049</v>
      </c>
      <c r="R27" s="23">
        <v>111.39405750327951</v>
      </c>
      <c r="S27" s="23">
        <v>114.63313807950651</v>
      </c>
      <c r="T27" s="31">
        <f t="shared" si="1"/>
        <v>113.24217007461549</v>
      </c>
      <c r="V27" s="25">
        <f t="shared" si="2"/>
        <v>-8.6863118405488962</v>
      </c>
    </row>
    <row r="28" spans="1:22" ht="15" customHeight="1" x14ac:dyDescent="0.2">
      <c r="A28" s="4" t="s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3</v>
      </c>
      <c r="G28" s="5" t="s">
        <v>1</v>
      </c>
      <c r="H28" s="5" t="s">
        <v>3</v>
      </c>
      <c r="I28" s="6" t="s">
        <v>3</v>
      </c>
      <c r="J28" s="6" t="s">
        <v>3</v>
      </c>
      <c r="K28" s="6" t="s">
        <v>1</v>
      </c>
      <c r="L28" s="6" t="s">
        <v>1</v>
      </c>
      <c r="M28" s="6">
        <v>37.659999999999997</v>
      </c>
      <c r="N28" s="6">
        <v>33.93</v>
      </c>
      <c r="O28" s="6">
        <v>29.136363636363637</v>
      </c>
      <c r="P28" s="6">
        <v>35.954545454545446</v>
      </c>
      <c r="Q28" s="6">
        <v>53.163636363636357</v>
      </c>
      <c r="R28" s="6">
        <v>51.975454545454546</v>
      </c>
      <c r="S28" s="6">
        <v>44.5</v>
      </c>
      <c r="T28" s="31">
        <f t="shared" si="1"/>
        <v>40.902857142857144</v>
      </c>
      <c r="V28" s="25">
        <f t="shared" si="2"/>
        <v>-8.5454545454545539</v>
      </c>
    </row>
    <row r="29" spans="1:22" ht="15" customHeight="1" x14ac:dyDescent="0.2">
      <c r="A29" s="22" t="s">
        <v>27</v>
      </c>
      <c r="B29" s="23">
        <v>84.9</v>
      </c>
      <c r="C29" s="23">
        <v>86</v>
      </c>
      <c r="D29" s="23">
        <v>70.599999999999994</v>
      </c>
      <c r="E29" s="23">
        <v>71.2</v>
      </c>
      <c r="F29" s="23">
        <v>72</v>
      </c>
      <c r="G29" s="23">
        <v>63</v>
      </c>
      <c r="H29" s="23">
        <v>58.7</v>
      </c>
      <c r="I29" s="23">
        <v>56.1</v>
      </c>
      <c r="J29" s="23">
        <v>60.6</v>
      </c>
      <c r="K29" s="23">
        <v>63.8</v>
      </c>
      <c r="L29" s="23">
        <v>63.5</v>
      </c>
      <c r="M29" s="23">
        <v>62.6</v>
      </c>
      <c r="N29" s="23">
        <v>62.2</v>
      </c>
      <c r="O29" s="23">
        <v>67.8</v>
      </c>
      <c r="P29" s="23">
        <v>68.8</v>
      </c>
      <c r="Q29" s="23">
        <v>62.7</v>
      </c>
      <c r="R29" s="23">
        <v>60.5</v>
      </c>
      <c r="S29" s="23">
        <v>59.3</v>
      </c>
      <c r="T29" s="31">
        <f t="shared" si="1"/>
        <v>66.349999999999994</v>
      </c>
      <c r="V29" s="25">
        <f t="shared" si="2"/>
        <v>9.5</v>
      </c>
    </row>
    <row r="30" spans="1:22" ht="15" customHeight="1" x14ac:dyDescent="0.2">
      <c r="A30" s="7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25"/>
    </row>
    <row r="31" spans="1:22" ht="15" customHeight="1" x14ac:dyDescent="0.2">
      <c r="A31" s="21" t="s">
        <v>30</v>
      </c>
      <c r="B31" s="13">
        <f t="shared" ref="B31:T31" si="3">MIN(B$4:B$29)</f>
        <v>55</v>
      </c>
      <c r="C31" s="13">
        <f t="shared" si="3"/>
        <v>58.2</v>
      </c>
      <c r="D31" s="13">
        <f t="shared" si="3"/>
        <v>58.2</v>
      </c>
      <c r="E31" s="13">
        <f t="shared" si="3"/>
        <v>66</v>
      </c>
      <c r="F31" s="13">
        <f t="shared" si="3"/>
        <v>64</v>
      </c>
      <c r="G31" s="13">
        <f t="shared" si="3"/>
        <v>53</v>
      </c>
      <c r="H31" s="13">
        <f t="shared" si="3"/>
        <v>48</v>
      </c>
      <c r="I31" s="13">
        <f t="shared" si="3"/>
        <v>40</v>
      </c>
      <c r="J31" s="13">
        <f t="shared" si="3"/>
        <v>39.6</v>
      </c>
      <c r="K31" s="13">
        <f t="shared" si="3"/>
        <v>25.05</v>
      </c>
      <c r="L31" s="13">
        <f t="shared" si="3"/>
        <v>25.45</v>
      </c>
      <c r="M31" s="13">
        <f t="shared" si="3"/>
        <v>22.68</v>
      </c>
      <c r="N31" s="13">
        <f t="shared" si="3"/>
        <v>20.6</v>
      </c>
      <c r="O31" s="13">
        <f t="shared" si="3"/>
        <v>24.41</v>
      </c>
      <c r="P31" s="13">
        <f t="shared" si="3"/>
        <v>35.954545454545446</v>
      </c>
      <c r="Q31" s="13">
        <f t="shared" si="3"/>
        <v>41.7</v>
      </c>
      <c r="R31" s="13">
        <f t="shared" si="3"/>
        <v>36.06</v>
      </c>
      <c r="S31" s="13">
        <f t="shared" si="3"/>
        <v>41.11</v>
      </c>
      <c r="T31" s="13">
        <f t="shared" si="3"/>
        <v>40.902857142857144</v>
      </c>
      <c r="V31" s="25">
        <f t="shared" ref="V31:V34" si="4">O31-R31</f>
        <v>-11.650000000000002</v>
      </c>
    </row>
    <row r="32" spans="1:22" ht="15" customHeight="1" x14ac:dyDescent="0.2">
      <c r="A32" s="12" t="s">
        <v>80</v>
      </c>
      <c r="B32" s="10">
        <f t="shared" ref="B32:T32" si="5">MEDIAN(B$4:B$29)</f>
        <v>126.8</v>
      </c>
      <c r="C32" s="10">
        <f t="shared" si="5"/>
        <v>129.19999999999999</v>
      </c>
      <c r="D32" s="10">
        <f t="shared" si="5"/>
        <v>121.44999999999999</v>
      </c>
      <c r="E32" s="10">
        <f t="shared" si="5"/>
        <v>126.25</v>
      </c>
      <c r="F32" s="10">
        <f t="shared" si="5"/>
        <v>130</v>
      </c>
      <c r="G32" s="10">
        <f t="shared" si="5"/>
        <v>108.3</v>
      </c>
      <c r="H32" s="10">
        <f t="shared" si="5"/>
        <v>94.96</v>
      </c>
      <c r="I32" s="10">
        <f t="shared" si="5"/>
        <v>90.2</v>
      </c>
      <c r="J32" s="10">
        <f t="shared" si="5"/>
        <v>88.22</v>
      </c>
      <c r="K32" s="10">
        <f t="shared" si="5"/>
        <v>88.5</v>
      </c>
      <c r="L32" s="10">
        <f t="shared" si="5"/>
        <v>89.9</v>
      </c>
      <c r="M32" s="10">
        <f t="shared" si="5"/>
        <v>89.11</v>
      </c>
      <c r="N32" s="10">
        <f t="shared" si="5"/>
        <v>90.35</v>
      </c>
      <c r="O32" s="10">
        <f t="shared" si="5"/>
        <v>78.06</v>
      </c>
      <c r="P32" s="10">
        <f t="shared" si="5"/>
        <v>69.599999999999994</v>
      </c>
      <c r="Q32" s="10">
        <f t="shared" si="5"/>
        <v>79.2</v>
      </c>
      <c r="R32" s="10">
        <f t="shared" si="5"/>
        <v>82.9</v>
      </c>
      <c r="S32" s="10">
        <f t="shared" si="5"/>
        <v>84.8</v>
      </c>
      <c r="T32" s="10">
        <f t="shared" si="5"/>
        <v>90.342857142857156</v>
      </c>
      <c r="V32" s="25">
        <f t="shared" si="4"/>
        <v>-4.8400000000000034</v>
      </c>
    </row>
    <row r="33" spans="1:31" ht="15" customHeight="1" x14ac:dyDescent="0.2">
      <c r="A33" s="21" t="s">
        <v>31</v>
      </c>
      <c r="B33" s="13">
        <f t="shared" ref="B33:T33" si="6">MAX(B$4:B$29)</f>
        <v>219.8</v>
      </c>
      <c r="C33" s="13">
        <f t="shared" si="6"/>
        <v>198.6</v>
      </c>
      <c r="D33" s="13">
        <f t="shared" si="6"/>
        <v>197.2</v>
      </c>
      <c r="E33" s="13">
        <f t="shared" si="6"/>
        <v>178.2</v>
      </c>
      <c r="F33" s="13">
        <f t="shared" si="6"/>
        <v>209</v>
      </c>
      <c r="G33" s="13">
        <f t="shared" si="6"/>
        <v>190.7</v>
      </c>
      <c r="H33" s="13">
        <f t="shared" si="6"/>
        <v>187.6</v>
      </c>
      <c r="I33" s="13">
        <f t="shared" si="6"/>
        <v>191.5</v>
      </c>
      <c r="J33" s="13">
        <f t="shared" si="6"/>
        <v>191.99</v>
      </c>
      <c r="K33" s="13">
        <f t="shared" si="6"/>
        <v>195.73</v>
      </c>
      <c r="L33" s="13">
        <f t="shared" si="6"/>
        <v>192.35</v>
      </c>
      <c r="M33" s="13">
        <f t="shared" si="6"/>
        <v>186.47</v>
      </c>
      <c r="N33" s="13">
        <f t="shared" si="6"/>
        <v>189.3</v>
      </c>
      <c r="O33" s="13">
        <f t="shared" si="6"/>
        <v>182.6</v>
      </c>
      <c r="P33" s="13">
        <f t="shared" si="6"/>
        <v>171</v>
      </c>
      <c r="Q33" s="13">
        <f t="shared" si="6"/>
        <v>177.5</v>
      </c>
      <c r="R33" s="13">
        <f t="shared" si="6"/>
        <v>177</v>
      </c>
      <c r="S33" s="13">
        <f t="shared" si="6"/>
        <v>171.4</v>
      </c>
      <c r="T33" s="13">
        <f t="shared" si="6"/>
        <v>181.02785714285713</v>
      </c>
      <c r="V33" s="25">
        <f t="shared" si="4"/>
        <v>5.5999999999999943</v>
      </c>
    </row>
    <row r="34" spans="1:31" ht="15" customHeight="1" x14ac:dyDescent="0.2">
      <c r="A34" s="2" t="s">
        <v>81</v>
      </c>
      <c r="B34" s="8">
        <f t="shared" ref="B34:G34" si="7">AVERAGE(B4:B29)</f>
        <v>132.1</v>
      </c>
      <c r="C34" s="8">
        <f t="shared" si="7"/>
        <v>125.8</v>
      </c>
      <c r="D34" s="8">
        <f t="shared" si="7"/>
        <v>120.77499999999999</v>
      </c>
      <c r="E34" s="10">
        <f t="shared" si="7"/>
        <v>120.88894832041319</v>
      </c>
      <c r="F34" s="10">
        <f t="shared" si="7"/>
        <v>122.72821277849543</v>
      </c>
      <c r="G34" s="10">
        <f t="shared" si="7"/>
        <v>111.08719762674775</v>
      </c>
      <c r="H34" s="10">
        <f t="shared" ref="H34:T34" si="8">AVERAGE(H4:H29)</f>
        <v>100.3073788431977</v>
      </c>
      <c r="I34" s="10">
        <f t="shared" si="8"/>
        <v>94.910860084024279</v>
      </c>
      <c r="J34" s="10">
        <f t="shared" si="8"/>
        <v>94.453434924465711</v>
      </c>
      <c r="K34" s="10">
        <f t="shared" si="8"/>
        <v>91.058120182062538</v>
      </c>
      <c r="L34" s="10">
        <f t="shared" si="8"/>
        <v>89.804595623436995</v>
      </c>
      <c r="M34" s="10">
        <f t="shared" ref="M34:N34" si="9">AVERAGE(M4:M29)</f>
        <v>88.688913466196496</v>
      </c>
      <c r="N34" s="10">
        <f t="shared" si="9"/>
        <v>90.167379030181763</v>
      </c>
      <c r="O34" s="10">
        <f t="shared" ref="O34:P34" si="10">AVERAGE(O4:O29)</f>
        <v>87.5870527855418</v>
      </c>
      <c r="P34" s="10">
        <f t="shared" si="10"/>
        <v>88.39765486774013</v>
      </c>
      <c r="Q34" s="10">
        <f t="shared" ref="Q34:R34" si="11">AVERAGE(Q4:Q29)</f>
        <v>91.977129740156272</v>
      </c>
      <c r="R34" s="10">
        <f t="shared" si="11"/>
        <v>93.027271379046709</v>
      </c>
      <c r="S34" s="10">
        <f t="shared" ref="S34" si="12">AVERAGE(S4:S29)</f>
        <v>92.448424806164255</v>
      </c>
      <c r="T34" s="10">
        <f t="shared" si="8"/>
        <v>96.800241886388619</v>
      </c>
      <c r="V34" s="25">
        <f t="shared" si="4"/>
        <v>-5.440218593504909</v>
      </c>
    </row>
    <row r="35" spans="1:31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8"/>
      <c r="Y35" s="18"/>
      <c r="Z35" s="18"/>
      <c r="AA35" s="18"/>
      <c r="AB35" s="18"/>
      <c r="AC35" s="18"/>
      <c r="AD35" s="18"/>
      <c r="AE35" s="18"/>
    </row>
    <row r="36" spans="1:31" ht="15" customHeight="1" x14ac:dyDescent="0.2">
      <c r="A36" s="37" t="s">
        <v>4</v>
      </c>
      <c r="B36" s="43" t="str">
        <f>IF($A$36="","",VLOOKUP($A$36,$A$4:B29,(B2-1999)))</f>
        <v>---</v>
      </c>
      <c r="C36" s="43" t="str">
        <f>IF($A$36="","",VLOOKUP($A$36,$A$4:C29,(B2-1998)))</f>
        <v>---</v>
      </c>
      <c r="D36" s="43" t="str">
        <f>IF($A$36="","",VLOOKUP($A$36,$A$4:D29,(C2-1998)))</f>
        <v>---</v>
      </c>
      <c r="E36" s="43">
        <f>IF($A$36="","",VLOOKUP($A$36,$A$4:E29,(D2-1998)))</f>
        <v>130</v>
      </c>
      <c r="F36" s="43">
        <f>IF($A$36="","",VLOOKUP($A$36,$A$4:F29,(E2-1998)))</f>
        <v>142</v>
      </c>
      <c r="G36" s="43">
        <f>IF($A$36="","",VLOOKUP($A$36,$A$4:G29,(F2-1998)))</f>
        <v>53</v>
      </c>
      <c r="H36" s="43">
        <f>IF($A$36="","",VLOOKUP($A$36,$A$4:H29,(G2-1998)))</f>
        <v>50</v>
      </c>
      <c r="I36" s="43">
        <f>IF($A$36="","",VLOOKUP($A$36,$A$4:I29,(H2-1998)))</f>
        <v>40.67</v>
      </c>
      <c r="J36" s="43">
        <f>IF($A$36="","",VLOOKUP($A$36,$A$4:J29,(I2-1998)))</f>
        <v>39.6</v>
      </c>
      <c r="K36" s="43">
        <f>IF($A$36="","",VLOOKUP($A$36,$A$4:K29,(J2-1998)))</f>
        <v>25.05</v>
      </c>
      <c r="L36" s="43">
        <f>IF($A$36="","",VLOOKUP($A$36,$A$4:L29,(K2-1998)))</f>
        <v>25.45</v>
      </c>
      <c r="M36" s="43">
        <f>IF($A$36="","",VLOOKUP($A$36,$A$4:M29,(L2-1998)))</f>
        <v>22.68</v>
      </c>
      <c r="N36" s="43">
        <f>IF($A$36="","",VLOOKUP($A$36,$A$4:N29,(M2-1998)))</f>
        <v>20.6</v>
      </c>
      <c r="O36" s="43">
        <f>IF($A$36="","",VLOOKUP($A$36,$A$4:O29,(N2-1998)))</f>
        <v>24.41</v>
      </c>
      <c r="P36" s="43">
        <f>IF($A$36="","",VLOOKUP($A$36,$A$4:P29,(O2-1998)))</f>
        <v>44.84</v>
      </c>
      <c r="Q36" s="43">
        <f>IF($A$36="","",VLOOKUP($A$36,$A$4:Q29,(P2-1998)))</f>
        <v>41.7</v>
      </c>
      <c r="R36" s="43">
        <f>IF($A$36="","",VLOOKUP($A$36,$A$4:R29,(Q2-1998)))</f>
        <v>36.06</v>
      </c>
      <c r="S36" s="43">
        <f>IF($A$36="","",VLOOKUP($A$36,$A$4:S29,(R2-1998)))</f>
        <v>41.11</v>
      </c>
      <c r="T36" s="43">
        <f>IF($A$36="","",VLOOKUP($A$36,$A$4:T29,(L2-1998)))</f>
        <v>22.68</v>
      </c>
      <c r="U36" s="41"/>
      <c r="V36" s="25">
        <f>O36-R36</f>
        <v>-11.650000000000002</v>
      </c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ht="15" customHeight="1" x14ac:dyDescent="0.2"/>
    <row r="38" spans="1:31" ht="15" customHeight="1" x14ac:dyDescent="0.2">
      <c r="A38" s="2" t="s">
        <v>29</v>
      </c>
      <c r="Y38" s="14"/>
    </row>
    <row r="39" spans="1:31" ht="15" customHeight="1" x14ac:dyDescent="0.2"/>
    <row r="40" spans="1:31" ht="15" customHeight="1" x14ac:dyDescent="0.2">
      <c r="A40" s="15" t="s">
        <v>58</v>
      </c>
      <c r="V40" s="2">
        <f>COUNTIF(V3:V29,"&gt;0")</f>
        <v>8</v>
      </c>
    </row>
    <row r="41" spans="1:31" s="35" customFormat="1" ht="22.5" x14ac:dyDescent="0.2">
      <c r="A41" s="35" t="s">
        <v>59</v>
      </c>
      <c r="B41" s="36">
        <f>COUNTIFS(B$4:B$29,"&lt;=50")</f>
        <v>0</v>
      </c>
      <c r="C41" s="36">
        <f t="shared" ref="C41:T41" si="13">COUNTIFS(C$4:C$29,"&lt;=50")</f>
        <v>0</v>
      </c>
      <c r="D41" s="36">
        <f t="shared" si="13"/>
        <v>0</v>
      </c>
      <c r="E41" s="36">
        <f t="shared" si="13"/>
        <v>0</v>
      </c>
      <c r="F41" s="36">
        <f t="shared" si="13"/>
        <v>0</v>
      </c>
      <c r="G41" s="36">
        <f t="shared" si="13"/>
        <v>0</v>
      </c>
      <c r="H41" s="36">
        <f t="shared" si="13"/>
        <v>2</v>
      </c>
      <c r="I41" s="36">
        <f t="shared" si="13"/>
        <v>3</v>
      </c>
      <c r="J41" s="36">
        <f t="shared" si="13"/>
        <v>2</v>
      </c>
      <c r="K41" s="36">
        <f t="shared" si="13"/>
        <v>3</v>
      </c>
      <c r="L41" s="36">
        <f t="shared" si="13"/>
        <v>3</v>
      </c>
      <c r="M41" s="36">
        <f t="shared" si="13"/>
        <v>5</v>
      </c>
      <c r="N41" s="36">
        <f t="shared" si="13"/>
        <v>4</v>
      </c>
      <c r="O41" s="36">
        <f t="shared" si="13"/>
        <v>3</v>
      </c>
      <c r="P41" s="36">
        <f t="shared" si="13"/>
        <v>2</v>
      </c>
      <c r="Q41" s="36">
        <f t="shared" si="13"/>
        <v>2</v>
      </c>
      <c r="R41" s="36">
        <f t="shared" si="13"/>
        <v>1</v>
      </c>
      <c r="S41" s="36">
        <f t="shared" si="13"/>
        <v>2</v>
      </c>
      <c r="T41" s="36">
        <f t="shared" si="13"/>
        <v>3</v>
      </c>
    </row>
    <row r="42" spans="1:31" s="35" customFormat="1" ht="22.5" x14ac:dyDescent="0.2">
      <c r="A42" s="35" t="s">
        <v>60</v>
      </c>
      <c r="B42" s="49">
        <f>COUNTIFS(B4:B29,"&lt;=100",B4:B29,"&gt;50")</f>
        <v>2</v>
      </c>
      <c r="C42" s="49">
        <f t="shared" ref="C42:T42" si="14">COUNTIFS(C4:C29,"&lt;=100",C4:C29,"&gt;50")</f>
        <v>3</v>
      </c>
      <c r="D42" s="49">
        <f t="shared" si="14"/>
        <v>3</v>
      </c>
      <c r="E42" s="49">
        <f t="shared" si="14"/>
        <v>5</v>
      </c>
      <c r="F42" s="49">
        <f t="shared" si="14"/>
        <v>7</v>
      </c>
      <c r="G42" s="49">
        <f t="shared" si="14"/>
        <v>10</v>
      </c>
      <c r="H42" s="49">
        <f t="shared" si="14"/>
        <v>11</v>
      </c>
      <c r="I42" s="49">
        <f t="shared" si="14"/>
        <v>11</v>
      </c>
      <c r="J42" s="49">
        <f t="shared" si="14"/>
        <v>14</v>
      </c>
      <c r="K42" s="49">
        <f t="shared" si="14"/>
        <v>13</v>
      </c>
      <c r="L42" s="49">
        <f t="shared" si="14"/>
        <v>13</v>
      </c>
      <c r="M42" s="49">
        <f t="shared" si="14"/>
        <v>12</v>
      </c>
      <c r="N42" s="49">
        <f t="shared" si="14"/>
        <v>14</v>
      </c>
      <c r="O42" s="49">
        <f t="shared" si="14"/>
        <v>15</v>
      </c>
      <c r="P42" s="49">
        <f t="shared" si="14"/>
        <v>16</v>
      </c>
      <c r="Q42" s="49">
        <f t="shared" ref="Q42:R42" si="15">COUNTIFS(Q4:Q29,"&lt;=100",Q4:Q29,"&gt;50")</f>
        <v>15</v>
      </c>
      <c r="R42" s="49">
        <f t="shared" si="15"/>
        <v>15</v>
      </c>
      <c r="S42" s="49">
        <f t="shared" ref="S42" si="16">COUNTIFS(S4:S29,"&lt;=100",S4:S29,"&gt;50")</f>
        <v>15</v>
      </c>
      <c r="T42" s="49">
        <f t="shared" si="14"/>
        <v>13</v>
      </c>
    </row>
    <row r="43" spans="1:31" s="35" customFormat="1" ht="22.5" x14ac:dyDescent="0.2">
      <c r="A43" s="35" t="s">
        <v>61</v>
      </c>
      <c r="B43" s="49">
        <f>COUNTIFS(B4:B29,"&lt;=150",B4:B29,"&gt;100")</f>
        <v>0</v>
      </c>
      <c r="C43" s="49">
        <f t="shared" ref="C43:T43" si="17">COUNTIFS(C4:C29,"&lt;=150",C4:C29,"&gt;100")</f>
        <v>2</v>
      </c>
      <c r="D43" s="49">
        <f t="shared" si="17"/>
        <v>2</v>
      </c>
      <c r="E43" s="49">
        <f t="shared" si="17"/>
        <v>9</v>
      </c>
      <c r="F43" s="49">
        <f t="shared" si="17"/>
        <v>11</v>
      </c>
      <c r="G43" s="49">
        <f t="shared" si="17"/>
        <v>9</v>
      </c>
      <c r="H43" s="49">
        <f t="shared" si="17"/>
        <v>7</v>
      </c>
      <c r="I43" s="49">
        <f t="shared" si="17"/>
        <v>6</v>
      </c>
      <c r="J43" s="49">
        <f t="shared" si="17"/>
        <v>5</v>
      </c>
      <c r="K43" s="49">
        <f t="shared" si="17"/>
        <v>5</v>
      </c>
      <c r="L43" s="49">
        <f t="shared" si="17"/>
        <v>6</v>
      </c>
      <c r="M43" s="49">
        <f t="shared" si="17"/>
        <v>7</v>
      </c>
      <c r="N43" s="49">
        <f t="shared" si="17"/>
        <v>4</v>
      </c>
      <c r="O43" s="49">
        <f t="shared" si="17"/>
        <v>4</v>
      </c>
      <c r="P43" s="49">
        <f t="shared" si="17"/>
        <v>4</v>
      </c>
      <c r="Q43" s="49">
        <f t="shared" ref="Q43:R43" si="18">COUNTIFS(Q4:Q29,"&lt;=150",Q4:Q29,"&gt;100")</f>
        <v>4</v>
      </c>
      <c r="R43" s="49">
        <f t="shared" si="18"/>
        <v>6</v>
      </c>
      <c r="S43" s="49">
        <f t="shared" ref="S43" si="19">COUNTIFS(S4:S29,"&lt;=150",S4:S29,"&gt;100")</f>
        <v>5</v>
      </c>
      <c r="T43" s="49">
        <f t="shared" si="17"/>
        <v>6</v>
      </c>
    </row>
    <row r="44" spans="1:31" s="35" customFormat="1" ht="22.5" x14ac:dyDescent="0.2">
      <c r="A44" s="35" t="s">
        <v>62</v>
      </c>
      <c r="B44" s="49">
        <f>COUNTIFS(B4:B29,"&lt;=200",B4:B29,"&gt;150")</f>
        <v>1</v>
      </c>
      <c r="C44" s="49">
        <f t="shared" ref="C44:T44" si="20">COUNTIFS(C4:C29,"&lt;=200",C4:C29,"&gt;150")</f>
        <v>3</v>
      </c>
      <c r="D44" s="49">
        <f t="shared" si="20"/>
        <v>3</v>
      </c>
      <c r="E44" s="49">
        <f t="shared" si="20"/>
        <v>4</v>
      </c>
      <c r="F44" s="49">
        <f t="shared" si="20"/>
        <v>4</v>
      </c>
      <c r="G44" s="49">
        <f t="shared" si="20"/>
        <v>4</v>
      </c>
      <c r="H44" s="49">
        <f t="shared" si="20"/>
        <v>3</v>
      </c>
      <c r="I44" s="49">
        <f t="shared" si="20"/>
        <v>3</v>
      </c>
      <c r="J44" s="49">
        <f t="shared" si="20"/>
        <v>2</v>
      </c>
      <c r="K44" s="49">
        <f t="shared" si="20"/>
        <v>2</v>
      </c>
      <c r="L44" s="49">
        <f t="shared" si="20"/>
        <v>1</v>
      </c>
      <c r="M44" s="49">
        <f t="shared" si="20"/>
        <v>1</v>
      </c>
      <c r="N44" s="49">
        <f t="shared" si="20"/>
        <v>3</v>
      </c>
      <c r="O44" s="49">
        <f t="shared" si="20"/>
        <v>3</v>
      </c>
      <c r="P44" s="49">
        <f t="shared" si="20"/>
        <v>3</v>
      </c>
      <c r="Q44" s="49">
        <f t="shared" ref="Q44:R44" si="21">COUNTIFS(Q4:Q29,"&lt;=200",Q4:Q29,"&gt;150")</f>
        <v>4</v>
      </c>
      <c r="R44" s="49">
        <f t="shared" si="21"/>
        <v>3</v>
      </c>
      <c r="S44" s="49">
        <f t="shared" ref="S44" si="22">COUNTIFS(S4:S29,"&lt;=200",S4:S29,"&gt;150")</f>
        <v>3</v>
      </c>
      <c r="T44" s="49">
        <f t="shared" si="20"/>
        <v>3</v>
      </c>
    </row>
    <row r="45" spans="1:31" s="35" customFormat="1" ht="22.5" x14ac:dyDescent="0.2">
      <c r="A45" s="35" t="s">
        <v>63</v>
      </c>
      <c r="B45" s="36">
        <f>COUNTIFS(B$4:B$29,"&gt;200")</f>
        <v>1</v>
      </c>
      <c r="C45" s="36">
        <f t="shared" ref="C45:T45" si="23">COUNTIFS(C$4:C$29,"&gt;200")</f>
        <v>0</v>
      </c>
      <c r="D45" s="36">
        <f t="shared" si="23"/>
        <v>0</v>
      </c>
      <c r="E45" s="36">
        <f t="shared" si="23"/>
        <v>0</v>
      </c>
      <c r="F45" s="36">
        <f t="shared" si="23"/>
        <v>1</v>
      </c>
      <c r="G45" s="36">
        <f t="shared" si="23"/>
        <v>0</v>
      </c>
      <c r="H45" s="36">
        <f t="shared" si="23"/>
        <v>0</v>
      </c>
      <c r="I45" s="36">
        <f t="shared" si="23"/>
        <v>0</v>
      </c>
      <c r="J45" s="36">
        <f t="shared" si="23"/>
        <v>0</v>
      </c>
      <c r="K45" s="36">
        <f t="shared" si="23"/>
        <v>0</v>
      </c>
      <c r="L45" s="36">
        <f t="shared" si="23"/>
        <v>0</v>
      </c>
      <c r="M45" s="36">
        <f t="shared" si="23"/>
        <v>0</v>
      </c>
      <c r="N45" s="36">
        <f t="shared" si="23"/>
        <v>0</v>
      </c>
      <c r="O45" s="36">
        <f t="shared" si="23"/>
        <v>0</v>
      </c>
      <c r="P45" s="36">
        <f t="shared" si="23"/>
        <v>0</v>
      </c>
      <c r="Q45" s="36">
        <f t="shared" si="23"/>
        <v>0</v>
      </c>
      <c r="R45" s="36">
        <f t="shared" si="23"/>
        <v>0</v>
      </c>
      <c r="S45" s="36">
        <f t="shared" si="23"/>
        <v>0</v>
      </c>
      <c r="T45" s="36">
        <f t="shared" si="23"/>
        <v>0</v>
      </c>
    </row>
    <row r="46" spans="1:31" x14ac:dyDescent="0.2">
      <c r="A46" s="2" t="s">
        <v>39</v>
      </c>
      <c r="B46" s="34">
        <f>COUNTIF(B4:B29,"&lt;=0")+COUNTIF(B4:B29,"&gt;0")</f>
        <v>4</v>
      </c>
      <c r="C46" s="34">
        <f t="shared" ref="C46:G46" si="24">COUNTIF(C4:C29,"&lt;=0")+COUNTIF(C4:C29,"&gt;0")</f>
        <v>8</v>
      </c>
      <c r="D46" s="34">
        <f t="shared" si="24"/>
        <v>8</v>
      </c>
      <c r="E46" s="34">
        <f t="shared" si="24"/>
        <v>18</v>
      </c>
      <c r="F46" s="34">
        <f t="shared" si="24"/>
        <v>23</v>
      </c>
      <c r="G46" s="34">
        <f t="shared" si="24"/>
        <v>23</v>
      </c>
      <c r="H46" s="34">
        <f t="shared" ref="H46:T46" si="25">COUNTIF(H4:H29,"&lt;=0")+COUNTIF(H4:H29,"&gt;0")</f>
        <v>23</v>
      </c>
      <c r="I46" s="34">
        <f t="shared" si="25"/>
        <v>23</v>
      </c>
      <c r="J46" s="34">
        <f t="shared" si="25"/>
        <v>23</v>
      </c>
      <c r="K46" s="34">
        <f t="shared" si="25"/>
        <v>23</v>
      </c>
      <c r="L46" s="34">
        <f t="shared" si="25"/>
        <v>23</v>
      </c>
      <c r="M46" s="34">
        <f t="shared" ref="M46:N46" si="26">COUNTIF(M4:M29,"&lt;=0")+COUNTIF(M4:M29,"&gt;0")</f>
        <v>25</v>
      </c>
      <c r="N46" s="34">
        <f t="shared" si="26"/>
        <v>25</v>
      </c>
      <c r="O46" s="34">
        <f t="shared" ref="O46:P46" si="27">COUNTIF(O4:O29,"&lt;=0")+COUNTIF(O4:O29,"&gt;0")</f>
        <v>25</v>
      </c>
      <c r="P46" s="34">
        <f t="shared" si="27"/>
        <v>25</v>
      </c>
      <c r="Q46" s="34">
        <f t="shared" ref="Q46:R46" si="28">COUNTIF(Q4:Q29,"&lt;=0")+COUNTIF(Q4:Q29,"&gt;0")</f>
        <v>25</v>
      </c>
      <c r="R46" s="34">
        <f t="shared" si="28"/>
        <v>25</v>
      </c>
      <c r="S46" s="34">
        <f t="shared" ref="S46" si="29">COUNTIF(S4:S29,"&lt;=0")+COUNTIF(S4:S29,"&gt;0")</f>
        <v>25</v>
      </c>
      <c r="T46" s="34">
        <f t="shared" si="25"/>
        <v>25</v>
      </c>
    </row>
    <row r="47" spans="1:31" ht="15" customHeight="1" x14ac:dyDescent="0.2"/>
  </sheetData>
  <autoFilter ref="A3:T3"/>
  <phoneticPr fontId="4" type="noConversion"/>
  <conditionalFormatting sqref="B46:M46 T46">
    <cfRule type="cellIs" dxfId="14" priority="6" stopIfTrue="1" operator="notEqual">
      <formula>SUM(B41:B45)</formula>
    </cfRule>
  </conditionalFormatting>
  <conditionalFormatting sqref="B36">
    <cfRule type="expression" dxfId="13" priority="5" stopIfTrue="1">
      <formula>OR(B36&lt;&gt;0,B36=0)</formula>
    </cfRule>
  </conditionalFormatting>
  <conditionalFormatting sqref="C36:M36">
    <cfRule type="expression" dxfId="12" priority="4" stopIfTrue="1">
      <formula>OR(B36&lt;&gt;0,B36=0)</formula>
    </cfRule>
  </conditionalFormatting>
  <conditionalFormatting sqref="T36">
    <cfRule type="expression" dxfId="11" priority="11" stopIfTrue="1">
      <formula>OR(L36&lt;&gt;0,L36=0)</formula>
    </cfRule>
  </conditionalFormatting>
  <conditionalFormatting sqref="N46:S46">
    <cfRule type="cellIs" dxfId="10" priority="2" stopIfTrue="1" operator="notEqual">
      <formula>SUM(N41:N45)</formula>
    </cfRule>
  </conditionalFormatting>
  <conditionalFormatting sqref="N36:S36">
    <cfRule type="expression" dxfId="9" priority="1" stopIfTrue="1">
      <formula>OR(M36&lt;&gt;0,M36=0)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6" fitToHeight="2" orientation="landscape" r:id="rId1"/>
  <headerFooter alignWithMargins="0">
    <oddFooter>&amp;CBruttoverschuldungsanteil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9" r:id="rId4" name="Group Box 41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6"/>
  <sheetViews>
    <sheetView zoomScaleNormal="100" workbookViewId="0">
      <pane ySplit="2" topLeftCell="A15" activePane="bottomLeft" state="frozen"/>
      <selection pane="bottomLeft" activeCell="P31" sqref="P31"/>
    </sheetView>
  </sheetViews>
  <sheetFormatPr baseColWidth="10" defaultColWidth="11.42578125" defaultRowHeight="11.25" x14ac:dyDescent="0.2"/>
  <cols>
    <col min="1" max="1" width="15.7109375" style="2" customWidth="1"/>
    <col min="2" max="28" width="6.7109375" style="2" customWidth="1"/>
    <col min="29" max="16384" width="11.42578125" style="2"/>
  </cols>
  <sheetData>
    <row r="1" spans="1:22" ht="15" customHeight="1" x14ac:dyDescent="0.2">
      <c r="A1" s="1" t="s">
        <v>32</v>
      </c>
      <c r="B1" s="28" t="s">
        <v>45</v>
      </c>
      <c r="C1" s="28" t="s">
        <v>45</v>
      </c>
      <c r="D1" s="28" t="s">
        <v>45</v>
      </c>
      <c r="E1" s="28" t="s">
        <v>45</v>
      </c>
      <c r="F1" s="28" t="s">
        <v>45</v>
      </c>
      <c r="G1" s="28" t="s">
        <v>45</v>
      </c>
      <c r="H1" s="28" t="s">
        <v>45</v>
      </c>
      <c r="I1" s="28" t="s">
        <v>45</v>
      </c>
      <c r="J1" s="28" t="s">
        <v>45</v>
      </c>
      <c r="K1" s="28" t="s">
        <v>45</v>
      </c>
      <c r="L1" s="28" t="s">
        <v>45</v>
      </c>
      <c r="M1" s="28" t="s">
        <v>45</v>
      </c>
      <c r="N1" s="28" t="s">
        <v>45</v>
      </c>
      <c r="O1" s="28" t="s">
        <v>45</v>
      </c>
      <c r="P1" s="28" t="s">
        <v>45</v>
      </c>
      <c r="Q1" s="28" t="s">
        <v>45</v>
      </c>
      <c r="R1" s="28" t="s">
        <v>45</v>
      </c>
      <c r="S1" s="28" t="s">
        <v>45</v>
      </c>
      <c r="T1" s="28" t="s">
        <v>45</v>
      </c>
    </row>
    <row r="2" spans="1:22" ht="15" customHeight="1" x14ac:dyDescent="0.2">
      <c r="A2" s="24" t="s">
        <v>34</v>
      </c>
      <c r="B2" s="24">
        <v>2001</v>
      </c>
      <c r="C2" s="24">
        <f t="shared" ref="C2:J2" si="0">B2+1</f>
        <v>2002</v>
      </c>
      <c r="D2" s="24">
        <f t="shared" si="0"/>
        <v>2003</v>
      </c>
      <c r="E2" s="24">
        <f t="shared" si="0"/>
        <v>2004</v>
      </c>
      <c r="F2" s="24">
        <f t="shared" si="0"/>
        <v>2005</v>
      </c>
      <c r="G2" s="24">
        <f t="shared" si="0"/>
        <v>2006</v>
      </c>
      <c r="H2" s="24">
        <f t="shared" si="0"/>
        <v>2007</v>
      </c>
      <c r="I2" s="24">
        <f t="shared" si="0"/>
        <v>2008</v>
      </c>
      <c r="J2" s="24">
        <f t="shared" si="0"/>
        <v>2009</v>
      </c>
      <c r="K2" s="24">
        <f t="shared" ref="K2:S2" si="1">J2+1</f>
        <v>2010</v>
      </c>
      <c r="L2" s="24">
        <f t="shared" si="1"/>
        <v>2011</v>
      </c>
      <c r="M2" s="24">
        <f t="shared" si="1"/>
        <v>2012</v>
      </c>
      <c r="N2" s="24">
        <f t="shared" si="1"/>
        <v>2013</v>
      </c>
      <c r="O2" s="24">
        <f t="shared" si="1"/>
        <v>2014</v>
      </c>
      <c r="P2" s="24">
        <f t="shared" si="1"/>
        <v>2015</v>
      </c>
      <c r="Q2" s="24">
        <f t="shared" si="1"/>
        <v>2016</v>
      </c>
      <c r="R2" s="24">
        <f t="shared" si="1"/>
        <v>2017</v>
      </c>
      <c r="S2" s="24">
        <f t="shared" si="1"/>
        <v>2018</v>
      </c>
      <c r="T2" s="24" t="s">
        <v>86</v>
      </c>
      <c r="V2" s="45" t="str">
        <f>'Degré d''autofinancement'!AF2</f>
        <v>2018-15</v>
      </c>
    </row>
    <row r="3" spans="1:22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0"/>
    </row>
    <row r="4" spans="1:22" ht="15" customHeight="1" x14ac:dyDescent="0.2">
      <c r="A4" s="4" t="s">
        <v>0</v>
      </c>
      <c r="B4" s="5" t="s">
        <v>1</v>
      </c>
      <c r="C4" s="5">
        <v>16.3</v>
      </c>
      <c r="D4" s="5">
        <v>20.9</v>
      </c>
      <c r="E4" s="6">
        <v>12</v>
      </c>
      <c r="F4" s="6">
        <v>11.3</v>
      </c>
      <c r="G4" s="6">
        <v>15</v>
      </c>
      <c r="H4" s="6">
        <v>12.4</v>
      </c>
      <c r="I4" s="6">
        <v>15.9</v>
      </c>
      <c r="J4" s="6">
        <v>11.9</v>
      </c>
      <c r="K4" s="6">
        <v>11.3</v>
      </c>
      <c r="L4" s="6">
        <v>11.9</v>
      </c>
      <c r="M4" s="6">
        <v>12.9</v>
      </c>
      <c r="N4" s="6">
        <v>14.2</v>
      </c>
      <c r="O4" s="6">
        <v>19.2</v>
      </c>
      <c r="P4" s="6">
        <v>18.5</v>
      </c>
      <c r="Q4" s="6">
        <v>17.5</v>
      </c>
      <c r="R4" s="6">
        <v>16.7</v>
      </c>
      <c r="S4" s="6">
        <v>16.5</v>
      </c>
      <c r="T4" s="31">
        <f>AVERAGE(B4:S4)</f>
        <v>14.96470588235294</v>
      </c>
      <c r="V4" s="25">
        <f>S4-P4</f>
        <v>-2</v>
      </c>
    </row>
    <row r="5" spans="1:22" ht="15" customHeight="1" x14ac:dyDescent="0.2">
      <c r="A5" s="22" t="s">
        <v>2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3</v>
      </c>
      <c r="G5" s="23">
        <v>16.399999999999999</v>
      </c>
      <c r="H5" s="23">
        <v>17.5</v>
      </c>
      <c r="I5" s="23">
        <v>17.100000000000001</v>
      </c>
      <c r="J5" s="23">
        <v>13</v>
      </c>
      <c r="K5" s="23">
        <v>13.6</v>
      </c>
      <c r="L5" s="23">
        <v>14.2</v>
      </c>
      <c r="M5" s="23">
        <v>13.9</v>
      </c>
      <c r="N5" s="23">
        <v>10.4</v>
      </c>
      <c r="O5" s="23">
        <v>10.5</v>
      </c>
      <c r="P5" s="23">
        <v>11.2</v>
      </c>
      <c r="Q5" s="23">
        <v>9.1999999999999993</v>
      </c>
      <c r="R5" s="23">
        <v>8.3000000000000007</v>
      </c>
      <c r="S5" s="23">
        <v>7.8</v>
      </c>
      <c r="T5" s="31">
        <f t="shared" ref="T5:T29" si="2">AVERAGE(B5:S5)</f>
        <v>12.546153846153848</v>
      </c>
      <c r="V5" s="25">
        <f t="shared" ref="V5:V29" si="3">S5-P5</f>
        <v>-3.3999999999999995</v>
      </c>
    </row>
    <row r="6" spans="1:22" ht="15" customHeight="1" x14ac:dyDescent="0.2">
      <c r="A6" s="4" t="s">
        <v>4</v>
      </c>
      <c r="B6" s="5" t="s">
        <v>1</v>
      </c>
      <c r="C6" s="5" t="s">
        <v>1</v>
      </c>
      <c r="D6" s="5" t="s">
        <v>1</v>
      </c>
      <c r="E6" s="6">
        <v>28.1</v>
      </c>
      <c r="F6" s="6">
        <v>24.2</v>
      </c>
      <c r="G6" s="6">
        <v>8.5500000000000007</v>
      </c>
      <c r="H6" s="6">
        <v>1.78</v>
      </c>
      <c r="I6" s="6">
        <v>5.9</v>
      </c>
      <c r="J6" s="6">
        <v>7.4</v>
      </c>
      <c r="K6" s="6">
        <v>5.93</v>
      </c>
      <c r="L6" s="6">
        <v>10.68</v>
      </c>
      <c r="M6" s="6">
        <v>8.91</v>
      </c>
      <c r="N6" s="6">
        <v>8.1</v>
      </c>
      <c r="O6" s="6">
        <v>12.41</v>
      </c>
      <c r="P6" s="6">
        <v>10.67</v>
      </c>
      <c r="Q6" s="6">
        <v>12.83</v>
      </c>
      <c r="R6" s="6">
        <v>6.29</v>
      </c>
      <c r="S6" s="6">
        <v>6.52</v>
      </c>
      <c r="T6" s="31">
        <f t="shared" si="2"/>
        <v>10.551333333333334</v>
      </c>
      <c r="V6" s="25">
        <f t="shared" si="3"/>
        <v>-4.1500000000000004</v>
      </c>
    </row>
    <row r="7" spans="1:22" ht="15" customHeight="1" x14ac:dyDescent="0.2">
      <c r="A7" s="22" t="s">
        <v>5</v>
      </c>
      <c r="B7" s="23">
        <v>15.9</v>
      </c>
      <c r="C7" s="23">
        <v>14.9</v>
      </c>
      <c r="D7" s="23">
        <v>13.4</v>
      </c>
      <c r="E7" s="23">
        <v>9.1333395010627907</v>
      </c>
      <c r="F7" s="23">
        <v>10.55352291676375</v>
      </c>
      <c r="G7" s="23">
        <v>10.865832019929918</v>
      </c>
      <c r="H7" s="23">
        <v>10.650385648561167</v>
      </c>
      <c r="I7" s="23">
        <v>12.732567920717749</v>
      </c>
      <c r="J7" s="23">
        <v>11.2</v>
      </c>
      <c r="K7" s="23">
        <v>11.362131738337499</v>
      </c>
      <c r="L7" s="23">
        <v>11.362131738337499</v>
      </c>
      <c r="M7" s="23">
        <v>9.1180125297761307</v>
      </c>
      <c r="N7" s="23">
        <v>11.144021707239213</v>
      </c>
      <c r="O7" s="23">
        <v>14.8</v>
      </c>
      <c r="P7" s="23">
        <v>15.2</v>
      </c>
      <c r="Q7" s="23">
        <v>13.5</v>
      </c>
      <c r="R7" s="23">
        <v>13</v>
      </c>
      <c r="S7" s="23">
        <v>12.2</v>
      </c>
      <c r="T7" s="31">
        <f t="shared" si="2"/>
        <v>12.278996984484763</v>
      </c>
      <c r="V7" s="25">
        <f t="shared" si="3"/>
        <v>-3</v>
      </c>
    </row>
    <row r="8" spans="1:22" ht="15" customHeight="1" x14ac:dyDescent="0.2">
      <c r="A8" s="4" t="s">
        <v>6</v>
      </c>
      <c r="B8" s="5" t="s">
        <v>1</v>
      </c>
      <c r="C8" s="5">
        <v>11.4</v>
      </c>
      <c r="D8" s="5">
        <v>10.4</v>
      </c>
      <c r="E8" s="6">
        <v>6.9</v>
      </c>
      <c r="F8" s="6">
        <v>7.1</v>
      </c>
      <c r="G8" s="6">
        <v>8.1</v>
      </c>
      <c r="H8" s="6">
        <v>5.4</v>
      </c>
      <c r="I8" s="6">
        <v>6.4</v>
      </c>
      <c r="J8" s="6">
        <v>7.5</v>
      </c>
      <c r="K8" s="6">
        <v>7</v>
      </c>
      <c r="L8" s="6">
        <v>8.3000000000000007</v>
      </c>
      <c r="M8" s="6">
        <v>9.6</v>
      </c>
      <c r="N8" s="6">
        <v>12.4</v>
      </c>
      <c r="O8" s="6">
        <v>9.5</v>
      </c>
      <c r="P8" s="6">
        <v>14.8</v>
      </c>
      <c r="Q8" s="6">
        <v>10.199999999999999</v>
      </c>
      <c r="R8" s="6">
        <v>11.9</v>
      </c>
      <c r="S8" s="6">
        <v>8.9</v>
      </c>
      <c r="T8" s="31">
        <f t="shared" si="2"/>
        <v>9.1647058823529424</v>
      </c>
      <c r="V8" s="25">
        <f t="shared" si="3"/>
        <v>-5.9</v>
      </c>
    </row>
    <row r="9" spans="1:22" ht="15" customHeight="1" x14ac:dyDescent="0.2">
      <c r="A9" s="22" t="s">
        <v>7</v>
      </c>
      <c r="B9" s="23" t="s">
        <v>1</v>
      </c>
      <c r="C9" s="23">
        <v>11.2</v>
      </c>
      <c r="D9" s="23">
        <v>15.1</v>
      </c>
      <c r="E9" s="23">
        <v>12.3</v>
      </c>
      <c r="F9" s="23">
        <v>13.6</v>
      </c>
      <c r="G9" s="23">
        <v>10.9</v>
      </c>
      <c r="H9" s="23">
        <v>11.7</v>
      </c>
      <c r="I9" s="23">
        <v>11.2</v>
      </c>
      <c r="J9" s="23">
        <v>11.9</v>
      </c>
      <c r="K9" s="23">
        <v>11.4</v>
      </c>
      <c r="L9" s="23">
        <v>11.1</v>
      </c>
      <c r="M9" s="23">
        <v>10.9</v>
      </c>
      <c r="N9" s="23">
        <v>14.1</v>
      </c>
      <c r="O9" s="23">
        <v>13.6</v>
      </c>
      <c r="P9" s="23">
        <v>14.9</v>
      </c>
      <c r="Q9" s="23">
        <v>12.2</v>
      </c>
      <c r="R9" s="23">
        <v>12.1</v>
      </c>
      <c r="S9" s="23">
        <v>11.2</v>
      </c>
      <c r="T9" s="31">
        <f t="shared" si="2"/>
        <v>12.317647058823528</v>
      </c>
      <c r="V9" s="25">
        <f t="shared" si="3"/>
        <v>-3.7000000000000011</v>
      </c>
    </row>
    <row r="10" spans="1:22" ht="15" customHeight="1" x14ac:dyDescent="0.2">
      <c r="A10" s="4" t="s">
        <v>8</v>
      </c>
      <c r="B10" s="5" t="s">
        <v>1</v>
      </c>
      <c r="C10" s="5" t="s">
        <v>1</v>
      </c>
      <c r="D10" s="5" t="s">
        <v>1</v>
      </c>
      <c r="E10" s="6">
        <v>11.6</v>
      </c>
      <c r="F10" s="6">
        <v>15.05</v>
      </c>
      <c r="G10" s="6">
        <v>16.399999999999999</v>
      </c>
      <c r="H10" s="6">
        <v>17.73</v>
      </c>
      <c r="I10" s="6">
        <v>17.02</v>
      </c>
      <c r="J10" s="6">
        <v>18</v>
      </c>
      <c r="K10" s="6">
        <v>15.7</v>
      </c>
      <c r="L10" s="6">
        <v>15.85</v>
      </c>
      <c r="M10" s="6">
        <v>18.829999999999998</v>
      </c>
      <c r="N10" s="6">
        <v>17.79</v>
      </c>
      <c r="O10" s="6">
        <v>19.059999999999999</v>
      </c>
      <c r="P10" s="6">
        <v>18.7</v>
      </c>
      <c r="Q10" s="6">
        <v>20</v>
      </c>
      <c r="R10" s="6">
        <v>17.2</v>
      </c>
      <c r="S10" s="6">
        <v>15.46</v>
      </c>
      <c r="T10" s="31">
        <f t="shared" si="2"/>
        <v>16.959333333333333</v>
      </c>
      <c r="V10" s="25">
        <f t="shared" si="3"/>
        <v>-3.2399999999999984</v>
      </c>
    </row>
    <row r="11" spans="1:22" ht="15" customHeight="1" x14ac:dyDescent="0.2">
      <c r="A11" s="22" t="s">
        <v>9</v>
      </c>
      <c r="B11" s="23">
        <v>15.5</v>
      </c>
      <c r="C11" s="23">
        <v>17.100000000000001</v>
      </c>
      <c r="D11" s="23">
        <v>18.5</v>
      </c>
      <c r="E11" s="23">
        <v>16.5</v>
      </c>
      <c r="F11" s="23">
        <v>16.600000000000001</v>
      </c>
      <c r="G11" s="23">
        <v>14.5</v>
      </c>
      <c r="H11" s="23">
        <v>12.6</v>
      </c>
      <c r="I11" s="23">
        <v>12.9</v>
      </c>
      <c r="J11" s="23">
        <v>15.2</v>
      </c>
      <c r="K11" s="23">
        <v>16.600000000000001</v>
      </c>
      <c r="L11" s="23">
        <v>16.3</v>
      </c>
      <c r="M11" s="23">
        <v>16.5</v>
      </c>
      <c r="N11" s="23">
        <v>14.3</v>
      </c>
      <c r="O11" s="23">
        <v>14.9</v>
      </c>
      <c r="P11" s="23">
        <v>16.100000000000001</v>
      </c>
      <c r="Q11" s="23">
        <v>15.8</v>
      </c>
      <c r="R11" s="23">
        <v>17.100000000000001</v>
      </c>
      <c r="S11" s="23">
        <v>20</v>
      </c>
      <c r="T11" s="31">
        <f t="shared" si="2"/>
        <v>15.944444444444445</v>
      </c>
      <c r="V11" s="25">
        <f t="shared" si="3"/>
        <v>3.8999999999999986</v>
      </c>
    </row>
    <row r="12" spans="1:22" ht="15" customHeight="1" x14ac:dyDescent="0.2">
      <c r="A12" s="4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6">
        <v>13.3</v>
      </c>
      <c r="G12" s="6">
        <v>14.6</v>
      </c>
      <c r="H12" s="6">
        <v>14.4</v>
      </c>
      <c r="I12" s="6">
        <v>18.5</v>
      </c>
      <c r="J12" s="6">
        <v>20.9</v>
      </c>
      <c r="K12" s="6">
        <v>17</v>
      </c>
      <c r="L12" s="6">
        <v>11.5</v>
      </c>
      <c r="M12" s="6">
        <v>13.3</v>
      </c>
      <c r="N12" s="6">
        <v>12.3</v>
      </c>
      <c r="O12" s="6">
        <v>14.8</v>
      </c>
      <c r="P12" s="6">
        <v>16.100000000000001</v>
      </c>
      <c r="Q12" s="6">
        <v>13.5</v>
      </c>
      <c r="R12" s="6">
        <v>18.600000000000001</v>
      </c>
      <c r="S12" s="6">
        <v>15.9</v>
      </c>
      <c r="T12" s="31">
        <f t="shared" si="2"/>
        <v>15.335714285714285</v>
      </c>
      <c r="V12" s="25">
        <f t="shared" si="3"/>
        <v>-0.20000000000000107</v>
      </c>
    </row>
    <row r="13" spans="1:22" ht="15" customHeight="1" x14ac:dyDescent="0.2">
      <c r="A13" s="22" t="s">
        <v>11</v>
      </c>
      <c r="B13" s="23" t="s">
        <v>1</v>
      </c>
      <c r="C13" s="23" t="s">
        <v>1</v>
      </c>
      <c r="D13" s="23" t="s">
        <v>1</v>
      </c>
      <c r="E13" s="23">
        <v>24.6</v>
      </c>
      <c r="F13" s="23">
        <v>22.7</v>
      </c>
      <c r="G13" s="23">
        <v>25</v>
      </c>
      <c r="H13" s="23">
        <v>24.49</v>
      </c>
      <c r="I13" s="23">
        <v>24.29</v>
      </c>
      <c r="J13" s="23">
        <v>23.76</v>
      </c>
      <c r="K13" s="23">
        <v>24.5</v>
      </c>
      <c r="L13" s="23">
        <v>23.5</v>
      </c>
      <c r="M13" s="23">
        <v>23.8</v>
      </c>
      <c r="N13" s="23">
        <v>23.2</v>
      </c>
      <c r="O13" s="23">
        <v>24.12</v>
      </c>
      <c r="P13" s="23">
        <v>17.78</v>
      </c>
      <c r="Q13" s="23">
        <v>20.420000000000002</v>
      </c>
      <c r="R13" s="23">
        <v>20.3</v>
      </c>
      <c r="S13" s="23">
        <v>22.8</v>
      </c>
      <c r="T13" s="31">
        <f t="shared" si="2"/>
        <v>23.017333333333337</v>
      </c>
      <c r="V13" s="25">
        <f t="shared" si="3"/>
        <v>5.0199999999999996</v>
      </c>
    </row>
    <row r="14" spans="1:22" ht="15" customHeight="1" x14ac:dyDescent="0.2">
      <c r="A14" s="4" t="s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5" t="s">
        <v>3</v>
      </c>
      <c r="G14" s="5" t="s">
        <v>1</v>
      </c>
      <c r="H14" s="5" t="s">
        <v>1</v>
      </c>
      <c r="I14" s="6" t="s">
        <v>1</v>
      </c>
      <c r="J14" s="6" t="s">
        <v>1</v>
      </c>
      <c r="K14" s="6" t="s">
        <v>1</v>
      </c>
      <c r="L14" s="6" t="s">
        <v>1</v>
      </c>
      <c r="M14" s="6" t="s">
        <v>1</v>
      </c>
      <c r="N14" s="6" t="s">
        <v>1</v>
      </c>
      <c r="O14" s="6" t="s">
        <v>1</v>
      </c>
      <c r="P14" s="6" t="s">
        <v>1</v>
      </c>
      <c r="Q14" s="6" t="s">
        <v>1</v>
      </c>
      <c r="R14" s="6" t="s">
        <v>1</v>
      </c>
      <c r="S14" s="6" t="s">
        <v>1</v>
      </c>
      <c r="T14" s="31" t="s">
        <v>28</v>
      </c>
      <c r="V14" s="25" t="s">
        <v>28</v>
      </c>
    </row>
    <row r="15" spans="1:22" ht="15" customHeight="1" x14ac:dyDescent="0.2">
      <c r="A15" s="22" t="s">
        <v>13</v>
      </c>
      <c r="B15" s="23" t="s">
        <v>1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23" t="s">
        <v>1</v>
      </c>
      <c r="T15" s="31" t="s">
        <v>28</v>
      </c>
      <c r="V15" s="25" t="s">
        <v>28</v>
      </c>
    </row>
    <row r="16" spans="1:22" ht="15" customHeight="1" x14ac:dyDescent="0.2">
      <c r="A16" s="4" t="s">
        <v>14</v>
      </c>
      <c r="B16" s="5" t="s">
        <v>1</v>
      </c>
      <c r="C16" s="5" t="s">
        <v>1</v>
      </c>
      <c r="D16" s="5" t="s">
        <v>1</v>
      </c>
      <c r="E16" s="6">
        <v>11.2</v>
      </c>
      <c r="F16" s="6">
        <v>11.6</v>
      </c>
      <c r="G16" s="6">
        <v>8</v>
      </c>
      <c r="H16" s="6">
        <v>7.9</v>
      </c>
      <c r="I16" s="6">
        <v>7.9</v>
      </c>
      <c r="J16" s="6">
        <v>9.8000000000000007</v>
      </c>
      <c r="K16" s="6">
        <v>10.7</v>
      </c>
      <c r="L16" s="6">
        <v>10.8</v>
      </c>
      <c r="M16" s="6">
        <v>10</v>
      </c>
      <c r="N16" s="6">
        <v>6.1</v>
      </c>
      <c r="O16" s="6">
        <v>9.6</v>
      </c>
      <c r="P16" s="6">
        <v>10.1</v>
      </c>
      <c r="Q16" s="6">
        <v>9.9</v>
      </c>
      <c r="R16" s="6">
        <v>8.5</v>
      </c>
      <c r="S16" s="6">
        <v>9.9</v>
      </c>
      <c r="T16" s="31">
        <f t="shared" si="2"/>
        <v>9.466666666666665</v>
      </c>
      <c r="V16" s="25">
        <f t="shared" si="3"/>
        <v>-0.19999999999999929</v>
      </c>
    </row>
    <row r="17" spans="1:22" ht="15" customHeight="1" x14ac:dyDescent="0.2">
      <c r="A17" s="22" t="s">
        <v>15</v>
      </c>
      <c r="B17" s="23" t="s">
        <v>1</v>
      </c>
      <c r="C17" s="23" t="s">
        <v>1</v>
      </c>
      <c r="D17" s="23">
        <v>16.100000000000001</v>
      </c>
      <c r="E17" s="23">
        <v>19.600000000000001</v>
      </c>
      <c r="F17" s="23">
        <v>22.5</v>
      </c>
      <c r="G17" s="23">
        <v>29.2</v>
      </c>
      <c r="H17" s="23">
        <v>34.729999999999997</v>
      </c>
      <c r="I17" s="23">
        <v>21</v>
      </c>
      <c r="J17" s="23">
        <v>19.13</v>
      </c>
      <c r="K17" s="23">
        <v>18.600000000000001</v>
      </c>
      <c r="L17" s="23">
        <v>20.6</v>
      </c>
      <c r="M17" s="23">
        <v>10.4</v>
      </c>
      <c r="N17" s="23">
        <v>13</v>
      </c>
      <c r="O17" s="23">
        <v>19.100000000000001</v>
      </c>
      <c r="P17" s="23">
        <v>15.3</v>
      </c>
      <c r="Q17" s="23">
        <v>17.100000000000001</v>
      </c>
      <c r="R17" s="23">
        <v>19.5</v>
      </c>
      <c r="S17" s="23">
        <v>24.6</v>
      </c>
      <c r="T17" s="31">
        <f t="shared" si="2"/>
        <v>20.028750000000002</v>
      </c>
      <c r="V17" s="25">
        <f t="shared" si="3"/>
        <v>9.3000000000000007</v>
      </c>
    </row>
    <row r="18" spans="1:22" ht="15" customHeight="1" x14ac:dyDescent="0.2">
      <c r="A18" s="4" t="s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6">
        <v>17.100000000000001</v>
      </c>
      <c r="G18" s="6">
        <v>12.9</v>
      </c>
      <c r="H18" s="6">
        <v>17.100000000000001</v>
      </c>
      <c r="I18" s="6">
        <v>16.2</v>
      </c>
      <c r="J18" s="6">
        <v>20.7</v>
      </c>
      <c r="K18" s="6">
        <v>23.63</v>
      </c>
      <c r="L18" s="6">
        <v>20.8</v>
      </c>
      <c r="M18" s="6">
        <v>16.57</v>
      </c>
      <c r="N18" s="6">
        <v>15.7</v>
      </c>
      <c r="O18" s="6">
        <v>15.3</v>
      </c>
      <c r="P18" s="6">
        <v>15.2</v>
      </c>
      <c r="Q18" s="6">
        <v>13.1</v>
      </c>
      <c r="R18" s="6">
        <v>17.100000000000001</v>
      </c>
      <c r="S18" s="6">
        <v>16.600000000000001</v>
      </c>
      <c r="T18" s="31">
        <f t="shared" si="2"/>
        <v>16.999999999999996</v>
      </c>
      <c r="V18" s="25">
        <f t="shared" si="3"/>
        <v>1.4000000000000021</v>
      </c>
    </row>
    <row r="19" spans="1:22" ht="15" customHeight="1" x14ac:dyDescent="0.2">
      <c r="A19" s="22" t="s">
        <v>17</v>
      </c>
      <c r="B19" s="23" t="s">
        <v>1</v>
      </c>
      <c r="C19" s="23" t="s">
        <v>1</v>
      </c>
      <c r="D19" s="23" t="s">
        <v>1</v>
      </c>
      <c r="E19" s="23" t="s">
        <v>1</v>
      </c>
      <c r="F19" s="23">
        <v>13.64</v>
      </c>
      <c r="G19" s="23">
        <v>13.5</v>
      </c>
      <c r="H19" s="23">
        <v>13.2</v>
      </c>
      <c r="I19" s="23">
        <v>15</v>
      </c>
      <c r="J19" s="23">
        <v>12.4</v>
      </c>
      <c r="K19" s="23">
        <v>13.7</v>
      </c>
      <c r="L19" s="23">
        <v>14</v>
      </c>
      <c r="M19" s="23">
        <v>16.7</v>
      </c>
      <c r="N19" s="23">
        <v>17.39</v>
      </c>
      <c r="O19" s="23">
        <v>12.4</v>
      </c>
      <c r="P19" s="23">
        <v>11.5</v>
      </c>
      <c r="Q19" s="23">
        <v>11.89</v>
      </c>
      <c r="R19" s="23">
        <v>13.453858090397704</v>
      </c>
      <c r="S19" s="23">
        <v>14.122551250704966</v>
      </c>
      <c r="T19" s="31">
        <f t="shared" si="2"/>
        <v>13.77831495293591</v>
      </c>
      <c r="V19" s="25">
        <f t="shared" si="3"/>
        <v>2.6225512507049658</v>
      </c>
    </row>
    <row r="20" spans="1:22" ht="15" customHeight="1" x14ac:dyDescent="0.2">
      <c r="A20" s="4" t="s">
        <v>18</v>
      </c>
      <c r="B20" s="5" t="s">
        <v>1</v>
      </c>
      <c r="C20" s="5" t="s">
        <v>1</v>
      </c>
      <c r="D20" s="5" t="s">
        <v>1</v>
      </c>
      <c r="E20" s="6">
        <v>12</v>
      </c>
      <c r="F20" s="6">
        <v>12</v>
      </c>
      <c r="G20" s="6">
        <v>14</v>
      </c>
      <c r="H20" s="6">
        <v>12</v>
      </c>
      <c r="I20" s="6">
        <v>25.3</v>
      </c>
      <c r="J20" s="6">
        <v>14</v>
      </c>
      <c r="K20" s="6">
        <v>19.5</v>
      </c>
      <c r="L20" s="6">
        <v>14.4</v>
      </c>
      <c r="M20" s="6">
        <v>14.1</v>
      </c>
      <c r="N20" s="6">
        <v>13.7</v>
      </c>
      <c r="O20" s="6">
        <v>13.9</v>
      </c>
      <c r="P20" s="6">
        <v>13.5</v>
      </c>
      <c r="Q20" s="6">
        <v>12.5</v>
      </c>
      <c r="R20" s="6">
        <v>12.9</v>
      </c>
      <c r="S20" s="6">
        <v>14.1</v>
      </c>
      <c r="T20" s="31">
        <f t="shared" si="2"/>
        <v>14.526666666666667</v>
      </c>
      <c r="V20" s="25">
        <f t="shared" si="3"/>
        <v>0.59999999999999964</v>
      </c>
    </row>
    <row r="21" spans="1:22" ht="15" customHeight="1" x14ac:dyDescent="0.2">
      <c r="A21" s="22" t="s">
        <v>19</v>
      </c>
      <c r="B21" s="23" t="s">
        <v>1</v>
      </c>
      <c r="C21" s="23">
        <v>12.7</v>
      </c>
      <c r="D21" s="23">
        <v>12.5</v>
      </c>
      <c r="E21" s="23">
        <v>13.9</v>
      </c>
      <c r="F21" s="23">
        <v>14.3</v>
      </c>
      <c r="G21" s="23">
        <v>16.3</v>
      </c>
      <c r="H21" s="23">
        <v>15.1</v>
      </c>
      <c r="I21" s="23">
        <v>13.8</v>
      </c>
      <c r="J21" s="23">
        <v>13.3</v>
      </c>
      <c r="K21" s="23">
        <v>13.8</v>
      </c>
      <c r="L21" s="23">
        <v>13.3</v>
      </c>
      <c r="M21" s="23">
        <v>12.3</v>
      </c>
      <c r="N21" s="23">
        <v>13.1</v>
      </c>
      <c r="O21" s="23">
        <v>16.2</v>
      </c>
      <c r="P21" s="23">
        <v>13.3</v>
      </c>
      <c r="Q21" s="23">
        <v>11.8</v>
      </c>
      <c r="R21" s="23">
        <v>11.9</v>
      </c>
      <c r="S21" s="23">
        <v>12.3</v>
      </c>
      <c r="T21" s="31">
        <f t="shared" si="2"/>
        <v>13.523529411764708</v>
      </c>
      <c r="V21" s="25">
        <f t="shared" si="3"/>
        <v>-1</v>
      </c>
    </row>
    <row r="22" spans="1:22" ht="15" customHeight="1" x14ac:dyDescent="0.2">
      <c r="A22" s="4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6">
        <v>13.6</v>
      </c>
      <c r="G22" s="6">
        <v>14.7</v>
      </c>
      <c r="H22" s="6">
        <v>13.4</v>
      </c>
      <c r="I22" s="6">
        <v>13.5</v>
      </c>
      <c r="J22" s="6">
        <v>11.92</v>
      </c>
      <c r="K22" s="6">
        <v>11.6</v>
      </c>
      <c r="L22" s="6">
        <v>11.5</v>
      </c>
      <c r="M22" s="6">
        <v>12.1</v>
      </c>
      <c r="N22" s="6">
        <v>13.4</v>
      </c>
      <c r="O22" s="6">
        <v>11.8</v>
      </c>
      <c r="P22" s="6">
        <v>11.2</v>
      </c>
      <c r="Q22" s="6">
        <v>10.7</v>
      </c>
      <c r="R22" s="6">
        <v>12.12</v>
      </c>
      <c r="S22" s="6">
        <v>12.7</v>
      </c>
      <c r="T22" s="31">
        <f t="shared" si="2"/>
        <v>12.445714285714283</v>
      </c>
      <c r="V22" s="25">
        <f t="shared" si="3"/>
        <v>1.5</v>
      </c>
    </row>
    <row r="23" spans="1:22" ht="15" customHeight="1" x14ac:dyDescent="0.2">
      <c r="A23" s="22" t="s">
        <v>21</v>
      </c>
      <c r="B23" s="23" t="s">
        <v>1</v>
      </c>
      <c r="C23" s="23" t="s">
        <v>1</v>
      </c>
      <c r="D23" s="23" t="s">
        <v>1</v>
      </c>
      <c r="E23" s="23">
        <v>19.5</v>
      </c>
      <c r="F23" s="23">
        <v>17.5</v>
      </c>
      <c r="G23" s="23">
        <v>16.399999999999999</v>
      </c>
      <c r="H23" s="23">
        <v>16.8</v>
      </c>
      <c r="I23" s="23">
        <v>20.100000000000001</v>
      </c>
      <c r="J23" s="23">
        <v>18.8</v>
      </c>
      <c r="K23" s="23">
        <v>14.6</v>
      </c>
      <c r="L23" s="23">
        <v>16.600000000000001</v>
      </c>
      <c r="M23" s="23">
        <v>16.100000000000001</v>
      </c>
      <c r="N23" s="23">
        <v>18.2</v>
      </c>
      <c r="O23" s="23">
        <v>17.2</v>
      </c>
      <c r="P23" s="23">
        <v>15.2</v>
      </c>
      <c r="Q23" s="23">
        <v>15.3</v>
      </c>
      <c r="R23" s="23">
        <v>16.399999999999999</v>
      </c>
      <c r="S23" s="23">
        <v>14.7</v>
      </c>
      <c r="T23" s="31">
        <f t="shared" si="2"/>
        <v>16.893333333333331</v>
      </c>
      <c r="V23" s="25">
        <f t="shared" si="3"/>
        <v>-0.5</v>
      </c>
    </row>
    <row r="24" spans="1:22" ht="15" customHeight="1" x14ac:dyDescent="0.2">
      <c r="A24" s="4" t="s">
        <v>22</v>
      </c>
      <c r="B24" s="5" t="s">
        <v>1</v>
      </c>
      <c r="C24" s="5" t="s">
        <v>1</v>
      </c>
      <c r="D24" s="5" t="s">
        <v>1</v>
      </c>
      <c r="E24" s="6">
        <v>17.7</v>
      </c>
      <c r="F24" s="6">
        <v>15.5</v>
      </c>
      <c r="G24" s="6">
        <v>15.2</v>
      </c>
      <c r="H24" s="6">
        <v>15.8</v>
      </c>
      <c r="I24" s="6">
        <v>14.2</v>
      </c>
      <c r="J24" s="6">
        <v>15.2</v>
      </c>
      <c r="K24" s="6">
        <v>15.3</v>
      </c>
      <c r="L24" s="6">
        <v>16.2</v>
      </c>
      <c r="M24" s="6">
        <v>16</v>
      </c>
      <c r="N24" s="6">
        <v>17.399999999999999</v>
      </c>
      <c r="O24" s="6">
        <v>17.399999999999999</v>
      </c>
      <c r="P24" s="6">
        <v>18.7</v>
      </c>
      <c r="Q24" s="6">
        <v>15.3</v>
      </c>
      <c r="R24" s="6">
        <v>15.7</v>
      </c>
      <c r="S24" s="6">
        <v>18.3</v>
      </c>
      <c r="T24" s="31">
        <f t="shared" si="2"/>
        <v>16.260000000000002</v>
      </c>
      <c r="V24" s="25">
        <f t="shared" si="3"/>
        <v>-0.39999999999999858</v>
      </c>
    </row>
    <row r="25" spans="1:22" ht="15" customHeight="1" x14ac:dyDescent="0.2">
      <c r="A25" s="22" t="s">
        <v>23</v>
      </c>
      <c r="B25" s="23" t="s">
        <v>1</v>
      </c>
      <c r="C25" s="23" t="s">
        <v>1</v>
      </c>
      <c r="D25" s="23" t="s">
        <v>1</v>
      </c>
      <c r="E25" s="23">
        <v>6.4</v>
      </c>
      <c r="F25" s="23">
        <v>8.1999999999999993</v>
      </c>
      <c r="G25" s="23">
        <v>13.8</v>
      </c>
      <c r="H25" s="23">
        <v>12.4</v>
      </c>
      <c r="I25" s="23">
        <v>10.7</v>
      </c>
      <c r="J25" s="23">
        <v>10.3</v>
      </c>
      <c r="K25" s="23">
        <v>12.7</v>
      </c>
      <c r="L25" s="23">
        <v>12.5</v>
      </c>
      <c r="M25" s="23">
        <v>11.1</v>
      </c>
      <c r="N25" s="23">
        <v>11</v>
      </c>
      <c r="O25" s="23">
        <v>20.5</v>
      </c>
      <c r="P25" s="23">
        <v>16.2</v>
      </c>
      <c r="Q25" s="23">
        <v>19.899999999999999</v>
      </c>
      <c r="R25" s="23">
        <v>22</v>
      </c>
      <c r="S25" s="23">
        <v>19.399999999999999</v>
      </c>
      <c r="T25" s="31">
        <f t="shared" si="2"/>
        <v>13.806666666666667</v>
      </c>
      <c r="V25" s="25">
        <f t="shared" si="3"/>
        <v>3.1999999999999993</v>
      </c>
    </row>
    <row r="26" spans="1:22" ht="15" customHeight="1" x14ac:dyDescent="0.2">
      <c r="A26" s="4" t="s">
        <v>24</v>
      </c>
      <c r="B26" s="5">
        <v>20.9</v>
      </c>
      <c r="C26" s="5">
        <v>19</v>
      </c>
      <c r="D26" s="5">
        <v>19.399999999999999</v>
      </c>
      <c r="E26" s="6">
        <v>19.399999999999999</v>
      </c>
      <c r="F26" s="6">
        <v>20.6</v>
      </c>
      <c r="G26" s="6">
        <v>22.4</v>
      </c>
      <c r="H26" s="6">
        <v>23.36</v>
      </c>
      <c r="I26" s="6">
        <v>25.81</v>
      </c>
      <c r="J26" s="6">
        <v>22.4</v>
      </c>
      <c r="K26" s="6">
        <v>23.59</v>
      </c>
      <c r="L26" s="6">
        <v>24.11</v>
      </c>
      <c r="M26" s="6">
        <v>28.2</v>
      </c>
      <c r="N26" s="6">
        <v>26.52</v>
      </c>
      <c r="O26" s="6">
        <v>25.7947541158773</v>
      </c>
      <c r="P26" s="6">
        <v>27.82</v>
      </c>
      <c r="Q26" s="6">
        <v>24.87</v>
      </c>
      <c r="R26" s="6">
        <v>22.51</v>
      </c>
      <c r="S26" s="6">
        <v>23.45</v>
      </c>
      <c r="T26" s="31">
        <f t="shared" si="2"/>
        <v>23.340819673104292</v>
      </c>
      <c r="V26" s="25">
        <f t="shared" si="3"/>
        <v>-4.370000000000001</v>
      </c>
    </row>
    <row r="27" spans="1:22" ht="15" customHeight="1" x14ac:dyDescent="0.2">
      <c r="A27" s="22" t="s">
        <v>25</v>
      </c>
      <c r="B27" s="23" t="s">
        <v>1</v>
      </c>
      <c r="C27" s="23" t="s">
        <v>1</v>
      </c>
      <c r="D27" s="23" t="s">
        <v>1</v>
      </c>
      <c r="E27" s="23">
        <v>11.9</v>
      </c>
      <c r="F27" s="23">
        <v>12.4</v>
      </c>
      <c r="G27" s="23">
        <v>12.2</v>
      </c>
      <c r="H27" s="23">
        <v>19.89</v>
      </c>
      <c r="I27" s="23">
        <v>18.600000000000001</v>
      </c>
      <c r="J27" s="23">
        <v>19.72</v>
      </c>
      <c r="K27" s="23">
        <v>13.2</v>
      </c>
      <c r="L27" s="23">
        <v>13</v>
      </c>
      <c r="M27" s="23">
        <v>11.03</v>
      </c>
      <c r="N27" s="23">
        <v>11.9</v>
      </c>
      <c r="O27" s="23">
        <v>12.5</v>
      </c>
      <c r="P27" s="23">
        <v>13.4</v>
      </c>
      <c r="Q27" s="23">
        <v>12.3</v>
      </c>
      <c r="R27" s="23">
        <v>11.7</v>
      </c>
      <c r="S27" s="23">
        <v>11.668750904998268</v>
      </c>
      <c r="T27" s="31">
        <f t="shared" si="2"/>
        <v>13.693916726999884</v>
      </c>
      <c r="V27" s="25">
        <f t="shared" si="3"/>
        <v>-1.7312490950017327</v>
      </c>
    </row>
    <row r="28" spans="1:22" ht="15" customHeight="1" x14ac:dyDescent="0.2">
      <c r="A28" s="4" t="s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3</v>
      </c>
      <c r="G28" s="5" t="s">
        <v>1</v>
      </c>
      <c r="H28" s="5" t="s">
        <v>3</v>
      </c>
      <c r="I28" s="6" t="s">
        <v>3</v>
      </c>
      <c r="J28" s="6" t="s">
        <v>3</v>
      </c>
      <c r="K28" s="6" t="s">
        <v>1</v>
      </c>
      <c r="L28" s="6" t="s">
        <v>1</v>
      </c>
      <c r="M28" s="6">
        <v>27.32</v>
      </c>
      <c r="N28" s="6">
        <v>14.11</v>
      </c>
      <c r="O28" s="6">
        <v>11.82727272727273</v>
      </c>
      <c r="P28" s="6">
        <v>15.590909090909093</v>
      </c>
      <c r="Q28" s="6">
        <v>16.245454545454546</v>
      </c>
      <c r="R28" s="6">
        <v>14.434545454545455</v>
      </c>
      <c r="S28" s="6">
        <v>12.4</v>
      </c>
      <c r="T28" s="31">
        <f t="shared" si="2"/>
        <v>15.989740259740261</v>
      </c>
      <c r="V28" s="25">
        <f t="shared" si="3"/>
        <v>-3.1909090909090931</v>
      </c>
    </row>
    <row r="29" spans="1:22" ht="15" customHeight="1" x14ac:dyDescent="0.2">
      <c r="A29" s="22" t="s">
        <v>27</v>
      </c>
      <c r="B29" s="23">
        <v>15.1</v>
      </c>
      <c r="C29" s="23">
        <v>12</v>
      </c>
      <c r="D29" s="23">
        <v>13.2</v>
      </c>
      <c r="E29" s="23">
        <v>13</v>
      </c>
      <c r="F29" s="23">
        <v>13.1</v>
      </c>
      <c r="G29" s="23">
        <v>12.1</v>
      </c>
      <c r="H29" s="23">
        <v>13.2</v>
      </c>
      <c r="I29" s="23">
        <v>13</v>
      </c>
      <c r="J29" s="23">
        <v>23.3</v>
      </c>
      <c r="K29" s="23">
        <v>13.3</v>
      </c>
      <c r="L29" s="23">
        <v>12.7</v>
      </c>
      <c r="M29" s="23">
        <v>12.7</v>
      </c>
      <c r="N29" s="23">
        <v>13</v>
      </c>
      <c r="O29" s="23">
        <v>12.7</v>
      </c>
      <c r="P29" s="23">
        <v>12.3</v>
      </c>
      <c r="Q29" s="23">
        <v>12.4</v>
      </c>
      <c r="R29" s="23">
        <v>14.8</v>
      </c>
      <c r="S29" s="23">
        <v>12.3</v>
      </c>
      <c r="T29" s="31">
        <f t="shared" si="2"/>
        <v>13.566666666666666</v>
      </c>
      <c r="V29" s="25">
        <f t="shared" si="3"/>
        <v>0</v>
      </c>
    </row>
    <row r="30" spans="1:22" ht="15" customHeight="1" x14ac:dyDescent="0.2">
      <c r="A30" s="7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22" ht="15" customHeight="1" x14ac:dyDescent="0.2">
      <c r="A31" s="21" t="s">
        <v>30</v>
      </c>
      <c r="B31" s="13">
        <f t="shared" ref="B31:T31" si="4">MAX(B$4:B$29)</f>
        <v>20.9</v>
      </c>
      <c r="C31" s="13">
        <f t="shared" si="4"/>
        <v>19</v>
      </c>
      <c r="D31" s="13">
        <f t="shared" si="4"/>
        <v>20.9</v>
      </c>
      <c r="E31" s="13">
        <f t="shared" si="4"/>
        <v>28.1</v>
      </c>
      <c r="F31" s="13">
        <f t="shared" si="4"/>
        <v>24.2</v>
      </c>
      <c r="G31" s="13">
        <f t="shared" si="4"/>
        <v>29.2</v>
      </c>
      <c r="H31" s="13">
        <f t="shared" si="4"/>
        <v>34.729999999999997</v>
      </c>
      <c r="I31" s="13">
        <f t="shared" si="4"/>
        <v>25.81</v>
      </c>
      <c r="J31" s="13">
        <f t="shared" si="4"/>
        <v>23.76</v>
      </c>
      <c r="K31" s="13">
        <f t="shared" si="4"/>
        <v>24.5</v>
      </c>
      <c r="L31" s="13">
        <f t="shared" si="4"/>
        <v>24.11</v>
      </c>
      <c r="M31" s="13">
        <f t="shared" si="4"/>
        <v>28.2</v>
      </c>
      <c r="N31" s="13">
        <f t="shared" si="4"/>
        <v>26.52</v>
      </c>
      <c r="O31" s="13">
        <f t="shared" si="4"/>
        <v>25.7947541158773</v>
      </c>
      <c r="P31" s="13">
        <f t="shared" si="4"/>
        <v>27.82</v>
      </c>
      <c r="Q31" s="13">
        <f t="shared" si="4"/>
        <v>24.87</v>
      </c>
      <c r="R31" s="13">
        <f t="shared" si="4"/>
        <v>22.51</v>
      </c>
      <c r="S31" s="13">
        <f t="shared" si="4"/>
        <v>24.6</v>
      </c>
      <c r="T31" s="13">
        <f t="shared" si="4"/>
        <v>23.340819673104292</v>
      </c>
      <c r="V31" s="25">
        <f t="shared" ref="V31:V36" si="5">R31-O31</f>
        <v>-3.2847541158772984</v>
      </c>
    </row>
    <row r="32" spans="1:22" ht="15" customHeight="1" x14ac:dyDescent="0.2">
      <c r="A32" s="12" t="s">
        <v>80</v>
      </c>
      <c r="B32" s="10">
        <f t="shared" ref="B32:T32" si="6">MEDIAN(B$4:B$29)</f>
        <v>15.7</v>
      </c>
      <c r="C32" s="10">
        <f t="shared" si="6"/>
        <v>13.8</v>
      </c>
      <c r="D32" s="10">
        <f t="shared" si="6"/>
        <v>15.1</v>
      </c>
      <c r="E32" s="10">
        <f t="shared" si="6"/>
        <v>12.65</v>
      </c>
      <c r="F32" s="10">
        <f t="shared" si="6"/>
        <v>13.620000000000001</v>
      </c>
      <c r="G32" s="10">
        <f t="shared" si="6"/>
        <v>14.5</v>
      </c>
      <c r="H32" s="10">
        <f t="shared" si="6"/>
        <v>13.4</v>
      </c>
      <c r="I32" s="10">
        <f t="shared" si="6"/>
        <v>15</v>
      </c>
      <c r="J32" s="10">
        <f t="shared" si="6"/>
        <v>14</v>
      </c>
      <c r="K32" s="10">
        <f t="shared" si="6"/>
        <v>13.7</v>
      </c>
      <c r="L32" s="10">
        <f t="shared" si="6"/>
        <v>13.3</v>
      </c>
      <c r="M32" s="10">
        <f t="shared" si="6"/>
        <v>13.100000000000001</v>
      </c>
      <c r="N32" s="10">
        <f t="shared" si="6"/>
        <v>13.55</v>
      </c>
      <c r="O32" s="10">
        <f t="shared" si="6"/>
        <v>14.8</v>
      </c>
      <c r="P32" s="10">
        <f t="shared" si="6"/>
        <v>15.2</v>
      </c>
      <c r="Q32" s="10">
        <f t="shared" si="6"/>
        <v>13.3</v>
      </c>
      <c r="R32" s="10">
        <f t="shared" si="6"/>
        <v>14.617272727272727</v>
      </c>
      <c r="S32" s="10">
        <f t="shared" si="6"/>
        <v>14.111275625352484</v>
      </c>
      <c r="T32" s="10">
        <f t="shared" si="6"/>
        <v>14.166666666666668</v>
      </c>
      <c r="V32" s="25">
        <f t="shared" si="5"/>
        <v>-0.18272727272727352</v>
      </c>
    </row>
    <row r="33" spans="1:30" ht="15" customHeight="1" x14ac:dyDescent="0.2">
      <c r="A33" s="21" t="s">
        <v>31</v>
      </c>
      <c r="B33" s="13">
        <f t="shared" ref="B33:T33" si="7">MIN(B$4:B$29)</f>
        <v>15.1</v>
      </c>
      <c r="C33" s="13">
        <f t="shared" si="7"/>
        <v>11.2</v>
      </c>
      <c r="D33" s="13">
        <f t="shared" si="7"/>
        <v>10.4</v>
      </c>
      <c r="E33" s="13">
        <f t="shared" si="7"/>
        <v>6.4</v>
      </c>
      <c r="F33" s="13">
        <f t="shared" si="7"/>
        <v>7.1</v>
      </c>
      <c r="G33" s="13">
        <f t="shared" si="7"/>
        <v>8</v>
      </c>
      <c r="H33" s="13">
        <f t="shared" si="7"/>
        <v>1.78</v>
      </c>
      <c r="I33" s="13">
        <f t="shared" si="7"/>
        <v>5.9</v>
      </c>
      <c r="J33" s="13">
        <f t="shared" si="7"/>
        <v>7.4</v>
      </c>
      <c r="K33" s="13">
        <f t="shared" si="7"/>
        <v>5.93</v>
      </c>
      <c r="L33" s="13">
        <f t="shared" si="7"/>
        <v>8.3000000000000007</v>
      </c>
      <c r="M33" s="13">
        <f t="shared" si="7"/>
        <v>8.91</v>
      </c>
      <c r="N33" s="13">
        <f t="shared" si="7"/>
        <v>6.1</v>
      </c>
      <c r="O33" s="13">
        <f t="shared" si="7"/>
        <v>9.5</v>
      </c>
      <c r="P33" s="13">
        <f t="shared" si="7"/>
        <v>10.1</v>
      </c>
      <c r="Q33" s="13">
        <f t="shared" si="7"/>
        <v>9.1999999999999993</v>
      </c>
      <c r="R33" s="13">
        <f t="shared" si="7"/>
        <v>6.29</v>
      </c>
      <c r="S33" s="13">
        <f t="shared" si="7"/>
        <v>6.52</v>
      </c>
      <c r="T33" s="13">
        <f t="shared" si="7"/>
        <v>9.1647058823529424</v>
      </c>
      <c r="V33" s="25">
        <f t="shared" si="5"/>
        <v>-3.21</v>
      </c>
    </row>
    <row r="34" spans="1:30" ht="15" customHeight="1" x14ac:dyDescent="0.2">
      <c r="A34" s="2" t="s">
        <v>81</v>
      </c>
      <c r="B34" s="8">
        <f t="shared" ref="B34:G34" si="8">AVERAGE(B4:B29)</f>
        <v>16.849999999999998</v>
      </c>
      <c r="C34" s="8">
        <f t="shared" si="8"/>
        <v>14.325000000000001</v>
      </c>
      <c r="D34" s="8">
        <f t="shared" si="8"/>
        <v>15.5</v>
      </c>
      <c r="E34" s="10">
        <f t="shared" si="8"/>
        <v>14.762963305614599</v>
      </c>
      <c r="F34" s="10">
        <f t="shared" si="8"/>
        <v>14.838341950761992</v>
      </c>
      <c r="G34" s="10">
        <f t="shared" si="8"/>
        <v>14.826775305214344</v>
      </c>
      <c r="H34" s="10">
        <f t="shared" ref="H34:T34" si="9">AVERAGE(H4:H29)</f>
        <v>14.936103723850485</v>
      </c>
      <c r="I34" s="10">
        <f t="shared" si="9"/>
        <v>15.524024692205121</v>
      </c>
      <c r="J34" s="10">
        <f t="shared" si="9"/>
        <v>15.292608695652172</v>
      </c>
      <c r="K34" s="10">
        <f t="shared" si="9"/>
        <v>14.722266597319019</v>
      </c>
      <c r="L34" s="10">
        <f t="shared" si="9"/>
        <v>14.574005727753805</v>
      </c>
      <c r="M34" s="10">
        <f t="shared" ref="M34:N34" si="10">AVERAGE(M4:M29)</f>
        <v>14.68241718874067</v>
      </c>
      <c r="N34" s="10">
        <f t="shared" si="10"/>
        <v>14.268917571134963</v>
      </c>
      <c r="O34" s="10">
        <f t="shared" ref="O34:P34" si="11">AVERAGE(O4:O29)</f>
        <v>15.379667785131252</v>
      </c>
      <c r="P34" s="10">
        <f t="shared" si="11"/>
        <v>15.135871212121209</v>
      </c>
      <c r="Q34" s="10">
        <f t="shared" ref="Q34:R34" si="12">AVERAGE(Q4:Q29)</f>
        <v>14.518977272727271</v>
      </c>
      <c r="R34" s="10">
        <f t="shared" si="12"/>
        <v>14.7711834810393</v>
      </c>
      <c r="S34" s="10">
        <f t="shared" ref="S34" si="13">AVERAGE(S4:S29)</f>
        <v>14.742554256487631</v>
      </c>
      <c r="T34" s="10">
        <f t="shared" si="9"/>
        <v>14.89171473727442</v>
      </c>
      <c r="V34" s="25">
        <f t="shared" si="5"/>
        <v>-0.60848430409195231</v>
      </c>
    </row>
    <row r="35" spans="1:30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8"/>
      <c r="X35" s="18"/>
      <c r="Y35" s="18"/>
      <c r="Z35" s="18"/>
      <c r="AA35" s="18"/>
      <c r="AB35" s="18"/>
      <c r="AC35" s="18"/>
      <c r="AD35" s="18"/>
    </row>
    <row r="36" spans="1:30" ht="15" customHeight="1" x14ac:dyDescent="0.2">
      <c r="A36" s="37" t="s">
        <v>24</v>
      </c>
      <c r="B36" s="43">
        <f>IF($A$36="","",VLOOKUP($A$36,$A$4:B29,(B2-1999)))</f>
        <v>20.9</v>
      </c>
      <c r="C36" s="43">
        <f>IF($A$36="","",VLOOKUP($A$36,$A$4:C29,(B2-1998)))</f>
        <v>19</v>
      </c>
      <c r="D36" s="43">
        <f>IF($A$36="","",VLOOKUP($A$36,$A$4:D29,(C2-1998)))</f>
        <v>19.399999999999999</v>
      </c>
      <c r="E36" s="43">
        <f>IF($A$36="","",VLOOKUP($A$36,$A$4:E29,(D2-1998)))</f>
        <v>19.399999999999999</v>
      </c>
      <c r="F36" s="43">
        <f>IF($A$36="","",VLOOKUP($A$36,$A$4:F29,(E2-1998)))</f>
        <v>20.6</v>
      </c>
      <c r="G36" s="43">
        <f>IF($A$36="","",VLOOKUP($A$36,$A$4:G29,(F2-1998)))</f>
        <v>22.4</v>
      </c>
      <c r="H36" s="43">
        <f>IF($A$36="","",VLOOKUP($A$36,$A$4:H29,(G2-1998)))</f>
        <v>23.36</v>
      </c>
      <c r="I36" s="43">
        <f>IF($A$36="","",VLOOKUP($A$36,$A$4:I29,(H2-1998)))</f>
        <v>25.81</v>
      </c>
      <c r="J36" s="43">
        <f>IF($A$36="","",VLOOKUP($A$36,$A$4:J29,(I2-1998)))</f>
        <v>22.4</v>
      </c>
      <c r="K36" s="43">
        <f>IF($A$36="","",VLOOKUP($A$36,$A$4:K29,(J2-1998)))</f>
        <v>23.59</v>
      </c>
      <c r="L36" s="43">
        <f>IF($A$36="","",VLOOKUP($A$36,$A$4:L29,(K2-1998)))</f>
        <v>24.11</v>
      </c>
      <c r="M36" s="43">
        <f>IF($A$36="","",VLOOKUP($A$36,$A$4:M29,(L2-1998)))</f>
        <v>28.2</v>
      </c>
      <c r="N36" s="43">
        <f>IF($A$36="","",VLOOKUP($A$36,$A$4:N29,(M2-1998)))</f>
        <v>26.52</v>
      </c>
      <c r="O36" s="43">
        <f>IF($A$36="","",VLOOKUP($A$36,$A$4:O29,(N2-1998)))</f>
        <v>25.7947541158773</v>
      </c>
      <c r="P36" s="43">
        <f>IF($A$36="","",VLOOKUP($A$36,$A$4:P29,(O2-1998)))</f>
        <v>27.82</v>
      </c>
      <c r="Q36" s="43">
        <f>IF($A$36="","",VLOOKUP($A$36,$A$4:Q29,(P2-1998)))</f>
        <v>24.87</v>
      </c>
      <c r="R36" s="43">
        <f>IF($A$36="","",VLOOKUP($A$36,$A$4:R29,(Q2-1998)))</f>
        <v>22.51</v>
      </c>
      <c r="S36" s="43">
        <f>IF($A$36="","",VLOOKUP($A$36,$A$4:S29,(R2-1998)))</f>
        <v>23.45</v>
      </c>
      <c r="T36" s="43">
        <f>IF($A$36="","",VLOOKUP($A$36,$A$4:T29,(L2-1998)))</f>
        <v>28.2</v>
      </c>
      <c r="U36" s="41"/>
      <c r="V36" s="25">
        <f t="shared" si="5"/>
        <v>-3.2847541158772984</v>
      </c>
      <c r="W36" s="41"/>
      <c r="X36" s="41"/>
      <c r="Y36" s="41"/>
      <c r="Z36" s="41"/>
      <c r="AA36" s="41"/>
      <c r="AB36" s="41"/>
      <c r="AC36" s="41"/>
      <c r="AD36" s="41"/>
    </row>
    <row r="37" spans="1:30" ht="15" customHeight="1" x14ac:dyDescent="0.2"/>
    <row r="38" spans="1:30" ht="15" customHeight="1" x14ac:dyDescent="0.2">
      <c r="A38" s="2" t="s">
        <v>29</v>
      </c>
      <c r="X38" s="14"/>
    </row>
    <row r="39" spans="1:30" ht="15" customHeight="1" x14ac:dyDescent="0.2"/>
    <row r="40" spans="1:30" ht="15" customHeight="1" x14ac:dyDescent="0.2">
      <c r="A40" s="15" t="s">
        <v>64</v>
      </c>
      <c r="B40" s="38"/>
      <c r="C40" s="38"/>
      <c r="V40" s="2">
        <f>COUNTIF(V3:V29,"&lt;0")</f>
        <v>15</v>
      </c>
    </row>
    <row r="41" spans="1:30" ht="22.5" x14ac:dyDescent="0.2">
      <c r="A41" s="35" t="s">
        <v>65</v>
      </c>
      <c r="B41" s="49">
        <f>COUNTIF(B4:B29,"&lt;=10")</f>
        <v>0</v>
      </c>
      <c r="C41" s="49">
        <f t="shared" ref="C41:T41" si="14">COUNTIF(C4:C29,"&lt;=10")</f>
        <v>0</v>
      </c>
      <c r="D41" s="49">
        <f t="shared" si="14"/>
        <v>0</v>
      </c>
      <c r="E41" s="49">
        <f t="shared" si="14"/>
        <v>3</v>
      </c>
      <c r="F41" s="49">
        <f t="shared" si="14"/>
        <v>2</v>
      </c>
      <c r="G41" s="49">
        <f t="shared" si="14"/>
        <v>3</v>
      </c>
      <c r="H41" s="49">
        <f t="shared" si="14"/>
        <v>3</v>
      </c>
      <c r="I41" s="49">
        <f t="shared" si="14"/>
        <v>3</v>
      </c>
      <c r="J41" s="49">
        <f t="shared" si="14"/>
        <v>3</v>
      </c>
      <c r="K41" s="49">
        <f t="shared" si="14"/>
        <v>2</v>
      </c>
      <c r="L41" s="49">
        <f t="shared" si="14"/>
        <v>1</v>
      </c>
      <c r="M41" s="49">
        <f t="shared" si="14"/>
        <v>4</v>
      </c>
      <c r="N41" s="49">
        <f t="shared" si="14"/>
        <v>2</v>
      </c>
      <c r="O41" s="49">
        <f t="shared" si="14"/>
        <v>2</v>
      </c>
      <c r="P41" s="49">
        <f t="shared" si="14"/>
        <v>0</v>
      </c>
      <c r="Q41" s="49">
        <f t="shared" ref="Q41:R41" si="15">COUNTIF(Q4:Q29,"&lt;=10")</f>
        <v>2</v>
      </c>
      <c r="R41" s="49">
        <f t="shared" si="15"/>
        <v>3</v>
      </c>
      <c r="S41" s="49">
        <f t="shared" ref="S41" si="16">COUNTIF(S4:S29,"&lt;=10")</f>
        <v>4</v>
      </c>
      <c r="T41" s="49">
        <f t="shared" si="14"/>
        <v>2</v>
      </c>
    </row>
    <row r="42" spans="1:30" ht="22.5" x14ac:dyDescent="0.2">
      <c r="A42" s="35" t="s">
        <v>66</v>
      </c>
      <c r="B42" s="49">
        <f>COUNTIFS(B4:B29,"&lt;=20",B4:B29,"&gt;10")</f>
        <v>3</v>
      </c>
      <c r="C42" s="49">
        <f t="shared" ref="C42:T42" si="17">COUNTIFS(C4:C29,"&lt;=20",C4:C29,"&gt;10")</f>
        <v>8</v>
      </c>
      <c r="D42" s="49">
        <f t="shared" si="17"/>
        <v>8</v>
      </c>
      <c r="E42" s="49">
        <f t="shared" si="17"/>
        <v>13</v>
      </c>
      <c r="F42" s="49">
        <f t="shared" si="17"/>
        <v>16</v>
      </c>
      <c r="G42" s="49">
        <f t="shared" si="17"/>
        <v>17</v>
      </c>
      <c r="H42" s="49">
        <f t="shared" si="17"/>
        <v>17</v>
      </c>
      <c r="I42" s="49">
        <f t="shared" si="17"/>
        <v>15</v>
      </c>
      <c r="J42" s="49">
        <f t="shared" si="17"/>
        <v>15</v>
      </c>
      <c r="K42" s="49">
        <f t="shared" si="17"/>
        <v>18</v>
      </c>
      <c r="L42" s="49">
        <f t="shared" si="17"/>
        <v>18</v>
      </c>
      <c r="M42" s="49">
        <f t="shared" si="17"/>
        <v>17</v>
      </c>
      <c r="N42" s="49">
        <f t="shared" si="17"/>
        <v>20</v>
      </c>
      <c r="O42" s="49">
        <f t="shared" si="17"/>
        <v>19</v>
      </c>
      <c r="P42" s="49">
        <f t="shared" si="17"/>
        <v>23</v>
      </c>
      <c r="Q42" s="49">
        <f t="shared" ref="Q42:R42" si="18">COUNTIFS(Q4:Q29,"&lt;=20",Q4:Q29,"&gt;10")</f>
        <v>20</v>
      </c>
      <c r="R42" s="49">
        <f t="shared" si="18"/>
        <v>18</v>
      </c>
      <c r="S42" s="49">
        <f t="shared" ref="S42" si="19">COUNTIFS(S4:S29,"&lt;=20",S4:S29,"&gt;10")</f>
        <v>17</v>
      </c>
      <c r="T42" s="49">
        <f t="shared" si="17"/>
        <v>19</v>
      </c>
    </row>
    <row r="43" spans="1:30" ht="22.5" x14ac:dyDescent="0.2">
      <c r="A43" s="35" t="s">
        <v>67</v>
      </c>
      <c r="B43" s="49">
        <f>COUNTIFS(B4:B29,"&lt;=30",B4:B29,"&gt;20")</f>
        <v>1</v>
      </c>
      <c r="C43" s="49">
        <f t="shared" ref="C43:T43" si="20">COUNTIFS(C4:C29,"&lt;=30",C4:C29,"&gt;20")</f>
        <v>0</v>
      </c>
      <c r="D43" s="49">
        <f t="shared" si="20"/>
        <v>1</v>
      </c>
      <c r="E43" s="49">
        <f t="shared" si="20"/>
        <v>2</v>
      </c>
      <c r="F43" s="49">
        <f t="shared" si="20"/>
        <v>4</v>
      </c>
      <c r="G43" s="49">
        <f t="shared" si="20"/>
        <v>3</v>
      </c>
      <c r="H43" s="49">
        <f t="shared" si="20"/>
        <v>2</v>
      </c>
      <c r="I43" s="49">
        <f t="shared" si="20"/>
        <v>5</v>
      </c>
      <c r="J43" s="49">
        <f t="shared" si="20"/>
        <v>5</v>
      </c>
      <c r="K43" s="49">
        <f t="shared" si="20"/>
        <v>3</v>
      </c>
      <c r="L43" s="49">
        <f t="shared" si="20"/>
        <v>4</v>
      </c>
      <c r="M43" s="49">
        <f t="shared" si="20"/>
        <v>3</v>
      </c>
      <c r="N43" s="49">
        <f t="shared" si="20"/>
        <v>2</v>
      </c>
      <c r="O43" s="49">
        <f t="shared" si="20"/>
        <v>3</v>
      </c>
      <c r="P43" s="49">
        <f t="shared" si="20"/>
        <v>1</v>
      </c>
      <c r="Q43" s="49">
        <f t="shared" ref="Q43:R43" si="21">COUNTIFS(Q4:Q29,"&lt;=30",Q4:Q29,"&gt;20")</f>
        <v>2</v>
      </c>
      <c r="R43" s="49">
        <f t="shared" si="21"/>
        <v>3</v>
      </c>
      <c r="S43" s="49">
        <f t="shared" ref="S43" si="22">COUNTIFS(S4:S29,"&lt;=30",S4:S29,"&gt;20")</f>
        <v>3</v>
      </c>
      <c r="T43" s="49">
        <f t="shared" si="20"/>
        <v>3</v>
      </c>
    </row>
    <row r="44" spans="1:30" ht="22.5" x14ac:dyDescent="0.2">
      <c r="A44" s="35" t="s">
        <v>68</v>
      </c>
      <c r="B44" s="34">
        <f>COUNTIFS(B4:B29,"&gt;30")</f>
        <v>0</v>
      </c>
      <c r="C44" s="34">
        <f t="shared" ref="C44:T44" si="23">COUNTIFS(C4:C29,"&gt;30")</f>
        <v>0</v>
      </c>
      <c r="D44" s="34">
        <f t="shared" si="23"/>
        <v>0</v>
      </c>
      <c r="E44" s="34">
        <f t="shared" si="23"/>
        <v>0</v>
      </c>
      <c r="F44" s="34">
        <f t="shared" si="23"/>
        <v>0</v>
      </c>
      <c r="G44" s="34">
        <f t="shared" si="23"/>
        <v>0</v>
      </c>
      <c r="H44" s="34">
        <f t="shared" si="23"/>
        <v>1</v>
      </c>
      <c r="I44" s="34">
        <f t="shared" si="23"/>
        <v>0</v>
      </c>
      <c r="J44" s="34">
        <f t="shared" si="23"/>
        <v>0</v>
      </c>
      <c r="K44" s="34">
        <f t="shared" si="23"/>
        <v>0</v>
      </c>
      <c r="L44" s="34">
        <f t="shared" si="23"/>
        <v>0</v>
      </c>
      <c r="M44" s="34">
        <f t="shared" si="23"/>
        <v>0</v>
      </c>
      <c r="N44" s="34">
        <f t="shared" si="23"/>
        <v>0</v>
      </c>
      <c r="O44" s="34">
        <f t="shared" si="23"/>
        <v>0</v>
      </c>
      <c r="P44" s="34">
        <f t="shared" si="23"/>
        <v>0</v>
      </c>
      <c r="Q44" s="34">
        <f t="shared" ref="Q44:R44" si="24">COUNTIFS(Q4:Q29,"&gt;30")</f>
        <v>0</v>
      </c>
      <c r="R44" s="34">
        <f t="shared" si="24"/>
        <v>0</v>
      </c>
      <c r="S44" s="34">
        <f t="shared" ref="S44" si="25">COUNTIFS(S4:S29,"&gt;30")</f>
        <v>0</v>
      </c>
      <c r="T44" s="34">
        <f t="shared" si="23"/>
        <v>0</v>
      </c>
    </row>
    <row r="45" spans="1:30" ht="15" customHeight="1" x14ac:dyDescent="0.2">
      <c r="A45" s="2" t="s">
        <v>39</v>
      </c>
      <c r="B45" s="34">
        <f t="shared" ref="B45:G45" si="26">COUNTIF(B4:B29,"&lt;=0")+COUNTIF(B4:B29,"&gt;0")</f>
        <v>4</v>
      </c>
      <c r="C45" s="34">
        <f t="shared" si="26"/>
        <v>8</v>
      </c>
      <c r="D45" s="34">
        <f t="shared" si="26"/>
        <v>9</v>
      </c>
      <c r="E45" s="34">
        <f t="shared" si="26"/>
        <v>18</v>
      </c>
      <c r="F45" s="34">
        <f t="shared" si="26"/>
        <v>22</v>
      </c>
      <c r="G45" s="34">
        <f t="shared" si="26"/>
        <v>23</v>
      </c>
      <c r="H45" s="34">
        <f t="shared" ref="H45:T45" si="27">COUNTIF(H4:H29,"&lt;=0")+COUNTIF(H4:H29,"&gt;0")</f>
        <v>23</v>
      </c>
      <c r="I45" s="34">
        <f t="shared" si="27"/>
        <v>23</v>
      </c>
      <c r="J45" s="34">
        <f t="shared" si="27"/>
        <v>23</v>
      </c>
      <c r="K45" s="34">
        <f t="shared" si="27"/>
        <v>23</v>
      </c>
      <c r="L45" s="34">
        <f t="shared" si="27"/>
        <v>23</v>
      </c>
      <c r="M45" s="34">
        <f t="shared" ref="M45:N45" si="28">COUNTIF(M4:M29,"&lt;=0")+COUNTIF(M4:M29,"&gt;0")</f>
        <v>24</v>
      </c>
      <c r="N45" s="34">
        <f t="shared" si="28"/>
        <v>24</v>
      </c>
      <c r="O45" s="34">
        <f t="shared" ref="O45:P45" si="29">COUNTIF(O4:O29,"&lt;=0")+COUNTIF(O4:O29,"&gt;0")</f>
        <v>24</v>
      </c>
      <c r="P45" s="34">
        <f t="shared" si="29"/>
        <v>24</v>
      </c>
      <c r="Q45" s="34">
        <f t="shared" ref="Q45:R45" si="30">COUNTIF(Q4:Q29,"&lt;=0")+COUNTIF(Q4:Q29,"&gt;0")</f>
        <v>24</v>
      </c>
      <c r="R45" s="34">
        <f t="shared" si="30"/>
        <v>24</v>
      </c>
      <c r="S45" s="34">
        <f t="shared" ref="S45" si="31">COUNTIF(S4:S29,"&lt;=0")+COUNTIF(S4:S29,"&gt;0")</f>
        <v>24</v>
      </c>
      <c r="T45" s="34">
        <f t="shared" si="27"/>
        <v>24</v>
      </c>
    </row>
    <row r="46" spans="1:30" ht="15" customHeight="1" x14ac:dyDescent="0.2"/>
  </sheetData>
  <autoFilter ref="A3:T3"/>
  <phoneticPr fontId="4" type="noConversion"/>
  <conditionalFormatting sqref="B45:M45 T45">
    <cfRule type="cellIs" dxfId="8" priority="5" stopIfTrue="1" operator="notEqual">
      <formula>SUM(B41:B44)</formula>
    </cfRule>
  </conditionalFormatting>
  <conditionalFormatting sqref="B36:M36 T36">
    <cfRule type="expression" dxfId="7" priority="4">
      <formula>OR(B36&lt;&gt;0,B36=0)</formula>
    </cfRule>
  </conditionalFormatting>
  <conditionalFormatting sqref="N36:S36">
    <cfRule type="expression" dxfId="6" priority="1">
      <formula>OR(N36&lt;&gt;0,N36=0)</formula>
    </cfRule>
  </conditionalFormatting>
  <conditionalFormatting sqref="N45:S45">
    <cfRule type="cellIs" dxfId="5" priority="2" stopIfTrue="1" operator="notEqual">
      <formula>SUM(N41:N44)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2" fitToHeight="2" orientation="landscape" r:id="rId1"/>
  <headerFooter alignWithMargins="0">
    <oddFooter>&amp;CInvestitionsanteil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5" r:id="rId4" name="Group Box 33">
              <controlPr defaultSize="0" autoFill="0" autoPict="0">
                <anchor moveWithCells="1">
                  <from>
                    <xdr:col>0</xdr:col>
                    <xdr:colOff>28575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7"/>
  <sheetViews>
    <sheetView zoomScale="110" zoomScaleNormal="110" workbookViewId="0">
      <pane ySplit="2" topLeftCell="A18" activePane="bottomLeft" state="frozen"/>
      <selection pane="bottomLeft" activeCell="Z31" sqref="Z31"/>
    </sheetView>
  </sheetViews>
  <sheetFormatPr baseColWidth="10" defaultColWidth="11.42578125" defaultRowHeight="11.25" x14ac:dyDescent="0.2"/>
  <cols>
    <col min="1" max="1" width="15.7109375" style="2" customWidth="1"/>
    <col min="2" max="8" width="6.7109375" style="2" hidden="1" customWidth="1"/>
    <col min="9" max="30" width="6.7109375" style="2" customWidth="1"/>
    <col min="31" max="16384" width="11.42578125" style="2"/>
  </cols>
  <sheetData>
    <row r="1" spans="1:32" ht="15" customHeight="1" x14ac:dyDescent="0.2">
      <c r="A1" s="1" t="s">
        <v>32</v>
      </c>
      <c r="B1" s="28" t="s">
        <v>69</v>
      </c>
      <c r="C1" s="28" t="s">
        <v>69</v>
      </c>
      <c r="D1" s="28" t="s">
        <v>69</v>
      </c>
      <c r="E1" s="28" t="s">
        <v>69</v>
      </c>
      <c r="F1" s="28" t="s">
        <v>69</v>
      </c>
      <c r="G1" s="28" t="s">
        <v>69</v>
      </c>
      <c r="H1" s="28" t="s">
        <v>69</v>
      </c>
      <c r="I1" s="28" t="s">
        <v>69</v>
      </c>
      <c r="J1" s="28" t="s">
        <v>69</v>
      </c>
      <c r="K1" s="28" t="s">
        <v>69</v>
      </c>
      <c r="L1" s="28" t="s">
        <v>69</v>
      </c>
      <c r="M1" s="28" t="s">
        <v>69</v>
      </c>
      <c r="N1" s="28" t="s">
        <v>69</v>
      </c>
      <c r="O1" s="28" t="s">
        <v>69</v>
      </c>
      <c r="P1" s="28" t="s">
        <v>69</v>
      </c>
      <c r="Q1" s="28" t="s">
        <v>69</v>
      </c>
      <c r="R1" s="28" t="s">
        <v>69</v>
      </c>
      <c r="S1" s="28" t="s">
        <v>69</v>
      </c>
      <c r="T1" s="28" t="s">
        <v>69</v>
      </c>
      <c r="U1" s="28" t="s">
        <v>69</v>
      </c>
      <c r="V1" s="28" t="s">
        <v>69</v>
      </c>
      <c r="W1" s="28" t="s">
        <v>69</v>
      </c>
      <c r="X1" s="28" t="s">
        <v>69</v>
      </c>
      <c r="Y1" s="28" t="s">
        <v>69</v>
      </c>
      <c r="Z1" s="28" t="s">
        <v>69</v>
      </c>
      <c r="AA1" s="28" t="s">
        <v>69</v>
      </c>
      <c r="AB1" s="28" t="s">
        <v>69</v>
      </c>
      <c r="AC1" s="28" t="s">
        <v>69</v>
      </c>
      <c r="AD1" s="28" t="s">
        <v>69</v>
      </c>
    </row>
    <row r="2" spans="1:32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Y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>Y2+1</f>
        <v>2015</v>
      </c>
      <c r="AA2" s="24">
        <f>Z2+1</f>
        <v>2016</v>
      </c>
      <c r="AB2" s="24">
        <f>AA2+1</f>
        <v>2017</v>
      </c>
      <c r="AC2" s="24">
        <f>AB2+1</f>
        <v>2018</v>
      </c>
      <c r="AD2" s="24" t="s">
        <v>85</v>
      </c>
    </row>
    <row r="3" spans="1:32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0"/>
    </row>
    <row r="4" spans="1:32" ht="15" customHeight="1" x14ac:dyDescent="0.2">
      <c r="A4" s="4" t="s">
        <v>0</v>
      </c>
      <c r="B4" s="16">
        <v>1813</v>
      </c>
      <c r="C4" s="16">
        <v>2094</v>
      </c>
      <c r="D4" s="16">
        <v>2311</v>
      </c>
      <c r="E4" s="16">
        <v>2351</v>
      </c>
      <c r="F4" s="16">
        <v>2276</v>
      </c>
      <c r="G4" s="16">
        <v>1991</v>
      </c>
      <c r="H4" s="16">
        <v>1785</v>
      </c>
      <c r="I4" s="16">
        <v>1596</v>
      </c>
      <c r="J4" s="16">
        <v>1646</v>
      </c>
      <c r="K4" s="16">
        <v>1416</v>
      </c>
      <c r="L4" s="16">
        <v>1258</v>
      </c>
      <c r="M4" s="16">
        <v>1164</v>
      </c>
      <c r="N4" s="16">
        <v>969</v>
      </c>
      <c r="O4" s="17">
        <v>779</v>
      </c>
      <c r="P4" s="17">
        <v>630</v>
      </c>
      <c r="Q4" s="17">
        <v>442</v>
      </c>
      <c r="R4" s="17">
        <v>319</v>
      </c>
      <c r="S4" s="17">
        <v>260</v>
      </c>
      <c r="T4" s="17">
        <v>175</v>
      </c>
      <c r="U4" s="17">
        <v>62</v>
      </c>
      <c r="V4" s="17">
        <v>-49</v>
      </c>
      <c r="W4" s="17">
        <v>39</v>
      </c>
      <c r="X4" s="17">
        <v>226</v>
      </c>
      <c r="Y4" s="17">
        <v>-1146</v>
      </c>
      <c r="Z4" s="17">
        <v>-913</v>
      </c>
      <c r="AA4" s="17">
        <v>-630</v>
      </c>
      <c r="AB4" s="17">
        <v>-543</v>
      </c>
      <c r="AC4" s="17">
        <v>-714</v>
      </c>
      <c r="AD4" s="33">
        <f>AVERAGE(B4:AC4)</f>
        <v>771.67857142857144</v>
      </c>
      <c r="AF4" s="51">
        <v>0</v>
      </c>
    </row>
    <row r="5" spans="1:32" ht="15" customHeight="1" x14ac:dyDescent="0.2">
      <c r="A5" s="22" t="s">
        <v>2</v>
      </c>
      <c r="B5" s="26"/>
      <c r="C5" s="26"/>
      <c r="D5" s="26"/>
      <c r="E5" s="26">
        <v>3744</v>
      </c>
      <c r="F5" s="26">
        <v>3712</v>
      </c>
      <c r="G5" s="26">
        <v>3590</v>
      </c>
      <c r="H5" s="26">
        <v>3600</v>
      </c>
      <c r="I5" s="26">
        <v>3630</v>
      </c>
      <c r="J5" s="26">
        <v>3590</v>
      </c>
      <c r="K5" s="26">
        <v>3541</v>
      </c>
      <c r="L5" s="26">
        <v>3560</v>
      </c>
      <c r="M5" s="26">
        <v>3529</v>
      </c>
      <c r="N5" s="26">
        <v>3411</v>
      </c>
      <c r="O5" s="26">
        <v>3270</v>
      </c>
      <c r="P5" s="26">
        <v>3153</v>
      </c>
      <c r="Q5" s="26">
        <v>3215</v>
      </c>
      <c r="R5" s="26">
        <v>2395</v>
      </c>
      <c r="S5" s="26">
        <v>2461</v>
      </c>
      <c r="T5" s="26">
        <v>2344</v>
      </c>
      <c r="U5" s="26">
        <v>2278</v>
      </c>
      <c r="V5" s="26">
        <v>2237</v>
      </c>
      <c r="W5" s="26">
        <v>2376</v>
      </c>
      <c r="X5" s="26">
        <v>2400</v>
      </c>
      <c r="Y5" s="26">
        <v>1459.7</v>
      </c>
      <c r="Z5" s="26">
        <v>1387</v>
      </c>
      <c r="AA5" s="26">
        <v>1380</v>
      </c>
      <c r="AB5" s="26">
        <v>1277</v>
      </c>
      <c r="AC5" s="26">
        <v>1071</v>
      </c>
      <c r="AD5" s="33">
        <f t="shared" ref="AD5:AD29" si="3">AVERAGE(B5:AC5)</f>
        <v>2744.4279999999999</v>
      </c>
      <c r="AF5" s="51">
        <v>1</v>
      </c>
    </row>
    <row r="6" spans="1:32" ht="15" customHeight="1" x14ac:dyDescent="0.2">
      <c r="A6" s="4" t="s">
        <v>4</v>
      </c>
      <c r="B6" s="16"/>
      <c r="C6" s="16">
        <v>654</v>
      </c>
      <c r="D6" s="16">
        <v>557</v>
      </c>
      <c r="E6" s="16">
        <v>339</v>
      </c>
      <c r="F6" s="16">
        <v>270</v>
      </c>
      <c r="G6" s="16">
        <v>480</v>
      </c>
      <c r="H6" s="16">
        <v>210</v>
      </c>
      <c r="I6" s="16">
        <v>185</v>
      </c>
      <c r="J6" s="16">
        <v>153</v>
      </c>
      <c r="K6" s="16">
        <v>116</v>
      </c>
      <c r="L6" s="16">
        <v>124</v>
      </c>
      <c r="M6" s="16">
        <v>157</v>
      </c>
      <c r="N6" s="16">
        <v>268</v>
      </c>
      <c r="O6" s="17">
        <v>360</v>
      </c>
      <c r="P6" s="17">
        <v>445</v>
      </c>
      <c r="Q6" s="17" t="s">
        <v>1</v>
      </c>
      <c r="R6" s="17">
        <v>-994</v>
      </c>
      <c r="S6" s="17">
        <v>-1039</v>
      </c>
      <c r="T6" s="17">
        <v>-925</v>
      </c>
      <c r="U6" s="17">
        <v>-1884</v>
      </c>
      <c r="V6" s="17">
        <v>-1894</v>
      </c>
      <c r="W6" s="17">
        <v>-1847</v>
      </c>
      <c r="X6" s="17">
        <v>-1870</v>
      </c>
      <c r="Y6" s="17">
        <v>-2733</v>
      </c>
      <c r="Z6" s="17">
        <v>-4733</v>
      </c>
      <c r="AA6" s="17">
        <v>-4410</v>
      </c>
      <c r="AB6" s="17">
        <v>-4714</v>
      </c>
      <c r="AC6" s="17">
        <v>-4709</v>
      </c>
      <c r="AD6" s="33">
        <f t="shared" si="3"/>
        <v>-1055.1538461538462</v>
      </c>
      <c r="AF6" s="51">
        <v>0</v>
      </c>
    </row>
    <row r="7" spans="1:32" ht="15" customHeight="1" x14ac:dyDescent="0.2">
      <c r="A7" s="22" t="s">
        <v>5</v>
      </c>
      <c r="B7" s="26">
        <v>491</v>
      </c>
      <c r="C7" s="26">
        <v>783</v>
      </c>
      <c r="D7" s="26">
        <v>796</v>
      </c>
      <c r="E7" s="26">
        <v>721</v>
      </c>
      <c r="F7" s="26">
        <v>846</v>
      </c>
      <c r="G7" s="26">
        <v>806</v>
      </c>
      <c r="H7" s="26">
        <v>636</v>
      </c>
      <c r="I7" s="26">
        <v>509</v>
      </c>
      <c r="J7" s="26">
        <v>431</v>
      </c>
      <c r="K7" s="26">
        <v>250</v>
      </c>
      <c r="L7" s="26">
        <v>263</v>
      </c>
      <c r="M7" s="26">
        <v>316</v>
      </c>
      <c r="N7" s="26">
        <v>252</v>
      </c>
      <c r="O7" s="26">
        <v>92.133055893688194</v>
      </c>
      <c r="P7" s="26">
        <v>-80.122810186257269</v>
      </c>
      <c r="Q7" s="26">
        <v>-154.16749672643371</v>
      </c>
      <c r="R7" s="26">
        <v>-279.12855128922041</v>
      </c>
      <c r="S7" s="26">
        <v>-309.29882097948348</v>
      </c>
      <c r="T7" s="26">
        <v>-415</v>
      </c>
      <c r="U7" s="26">
        <v>-543</v>
      </c>
      <c r="V7" s="26">
        <v>-541</v>
      </c>
      <c r="W7" s="26">
        <v>-1167.1923041423147</v>
      </c>
      <c r="X7" s="26">
        <v>-939.34296717298639</v>
      </c>
      <c r="Y7" s="26">
        <v>-1436</v>
      </c>
      <c r="Z7" s="26">
        <v>-1431</v>
      </c>
      <c r="AA7" s="26">
        <v>-1143</v>
      </c>
      <c r="AB7" s="26">
        <v>-1186</v>
      </c>
      <c r="AC7" s="26">
        <v>-1226</v>
      </c>
      <c r="AD7" s="33">
        <f t="shared" si="3"/>
        <v>-130.64713909296455</v>
      </c>
      <c r="AF7" s="51">
        <v>0</v>
      </c>
    </row>
    <row r="8" spans="1:32" ht="15" customHeight="1" x14ac:dyDescent="0.2">
      <c r="A8" s="4" t="s">
        <v>6</v>
      </c>
      <c r="B8" s="16"/>
      <c r="C8" s="16">
        <v>11341</v>
      </c>
      <c r="D8" s="16">
        <v>12682</v>
      </c>
      <c r="E8" s="16">
        <v>13046</v>
      </c>
      <c r="F8" s="16">
        <v>14000</v>
      </c>
      <c r="G8" s="16">
        <v>16783</v>
      </c>
      <c r="H8" s="16">
        <v>18246</v>
      </c>
      <c r="I8" s="16">
        <v>18224</v>
      </c>
      <c r="J8" s="16">
        <v>18210</v>
      </c>
      <c r="K8" s="16">
        <v>18278</v>
      </c>
      <c r="L8" s="16">
        <v>18416</v>
      </c>
      <c r="M8" s="16">
        <v>18711</v>
      </c>
      <c r="N8" s="16">
        <v>18388</v>
      </c>
      <c r="O8" s="17">
        <v>17999</v>
      </c>
      <c r="P8" s="17">
        <v>16985</v>
      </c>
      <c r="Q8" s="17">
        <v>12231</v>
      </c>
      <c r="R8" s="17">
        <v>14925</v>
      </c>
      <c r="S8" s="17">
        <v>14410</v>
      </c>
      <c r="T8" s="17">
        <v>13036</v>
      </c>
      <c r="U8" s="17">
        <v>9495</v>
      </c>
      <c r="V8" s="17">
        <v>8916</v>
      </c>
      <c r="W8" s="17">
        <v>9914</v>
      </c>
      <c r="X8" s="17">
        <v>10448</v>
      </c>
      <c r="Y8" s="17">
        <v>9944</v>
      </c>
      <c r="Z8" s="17">
        <v>9313</v>
      </c>
      <c r="AA8" s="17">
        <v>9950</v>
      </c>
      <c r="AB8" s="17">
        <v>9643</v>
      </c>
      <c r="AC8" s="17">
        <v>8636</v>
      </c>
      <c r="AD8" s="33">
        <f t="shared" si="3"/>
        <v>13784.074074074075</v>
      </c>
      <c r="AF8" s="51">
        <v>1</v>
      </c>
    </row>
    <row r="9" spans="1:32" ht="15" customHeight="1" x14ac:dyDescent="0.2">
      <c r="A9" s="22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 t="s">
        <v>1</v>
      </c>
      <c r="M9" s="26" t="s">
        <v>1</v>
      </c>
      <c r="N9" s="26" t="s">
        <v>1</v>
      </c>
      <c r="O9" s="26" t="s">
        <v>1</v>
      </c>
      <c r="P9" s="26" t="s">
        <v>3</v>
      </c>
      <c r="Q9" s="26" t="s">
        <v>1</v>
      </c>
      <c r="R9" s="26" t="s">
        <v>1</v>
      </c>
      <c r="S9" s="26" t="s">
        <v>1</v>
      </c>
      <c r="T9" s="26" t="s">
        <v>1</v>
      </c>
      <c r="U9" s="26" t="s">
        <v>1</v>
      </c>
      <c r="V9" s="26">
        <v>923</v>
      </c>
      <c r="W9" s="26">
        <v>876</v>
      </c>
      <c r="X9" s="26">
        <v>-804</v>
      </c>
      <c r="Y9" s="26">
        <v>-859</v>
      </c>
      <c r="Z9" s="26">
        <v>-745</v>
      </c>
      <c r="AA9" s="26">
        <v>-1099</v>
      </c>
      <c r="AB9" s="26">
        <v>-992</v>
      </c>
      <c r="AC9" s="26">
        <v>-998</v>
      </c>
      <c r="AD9" s="33">
        <f t="shared" si="3"/>
        <v>-462.25</v>
      </c>
      <c r="AF9" s="51">
        <v>1</v>
      </c>
    </row>
    <row r="10" spans="1:32" ht="15" customHeight="1" x14ac:dyDescent="0.2">
      <c r="A10" s="4" t="s">
        <v>8</v>
      </c>
      <c r="B10" s="16">
        <v>2999</v>
      </c>
      <c r="C10" s="16">
        <v>2954</v>
      </c>
      <c r="D10" s="16">
        <v>3154</v>
      </c>
      <c r="E10" s="16">
        <v>3137</v>
      </c>
      <c r="F10" s="16">
        <v>3301</v>
      </c>
      <c r="G10" s="16">
        <v>3258</v>
      </c>
      <c r="H10" s="16">
        <v>3356</v>
      </c>
      <c r="I10" s="16">
        <v>3715</v>
      </c>
      <c r="J10" s="16">
        <v>4164</v>
      </c>
      <c r="K10" s="16">
        <v>4452</v>
      </c>
      <c r="L10" s="16">
        <v>4590</v>
      </c>
      <c r="M10" s="16">
        <v>4525</v>
      </c>
      <c r="N10" s="16">
        <v>4161</v>
      </c>
      <c r="O10" s="17">
        <v>3866</v>
      </c>
      <c r="P10" s="17">
        <v>2127</v>
      </c>
      <c r="Q10" s="17">
        <v>2171</v>
      </c>
      <c r="R10" s="17">
        <v>2076.0500000000002</v>
      </c>
      <c r="S10" s="17">
        <v>1904.85</v>
      </c>
      <c r="T10" s="17">
        <v>1897.6</v>
      </c>
      <c r="U10" s="17">
        <v>1685.9</v>
      </c>
      <c r="V10" s="17">
        <v>1602.9</v>
      </c>
      <c r="W10" s="17">
        <v>1524.87</v>
      </c>
      <c r="X10" s="17">
        <v>1504.4</v>
      </c>
      <c r="Y10" s="17">
        <v>1756</v>
      </c>
      <c r="Z10" s="17">
        <v>1687</v>
      </c>
      <c r="AA10" s="17">
        <v>1778</v>
      </c>
      <c r="AB10" s="17">
        <v>1813</v>
      </c>
      <c r="AC10" s="17">
        <v>1872.22</v>
      </c>
      <c r="AD10" s="33">
        <f t="shared" si="3"/>
        <v>2751.1710714285714</v>
      </c>
      <c r="AF10" s="51">
        <v>0</v>
      </c>
    </row>
    <row r="11" spans="1:32" ht="15" customHeight="1" x14ac:dyDescent="0.2">
      <c r="A11" s="22" t="s">
        <v>9</v>
      </c>
      <c r="B11" s="26">
        <v>995</v>
      </c>
      <c r="C11" s="26">
        <v>1045</v>
      </c>
      <c r="D11" s="26">
        <v>1102</v>
      </c>
      <c r="E11" s="26">
        <v>1443</v>
      </c>
      <c r="F11" s="26">
        <v>1678</v>
      </c>
      <c r="G11" s="26">
        <v>1716</v>
      </c>
      <c r="H11" s="26">
        <v>1841</v>
      </c>
      <c r="I11" s="26">
        <v>1819</v>
      </c>
      <c r="J11" s="26">
        <v>1544</v>
      </c>
      <c r="K11" s="26">
        <v>1305</v>
      </c>
      <c r="L11" s="26">
        <v>977</v>
      </c>
      <c r="M11" s="26">
        <v>703</v>
      </c>
      <c r="N11" s="26">
        <v>937</v>
      </c>
      <c r="O11" s="26">
        <v>895</v>
      </c>
      <c r="P11" s="26">
        <v>958</v>
      </c>
      <c r="Q11" s="26">
        <v>694</v>
      </c>
      <c r="R11" s="26">
        <v>247</v>
      </c>
      <c r="S11" s="26">
        <v>-351</v>
      </c>
      <c r="T11" s="26">
        <v>-801.9</v>
      </c>
      <c r="U11" s="26">
        <v>-963.2</v>
      </c>
      <c r="V11" s="26">
        <v>-925.9</v>
      </c>
      <c r="W11" s="26">
        <v>-780.6</v>
      </c>
      <c r="X11" s="26">
        <v>-705.74</v>
      </c>
      <c r="Y11" s="26">
        <v>-947</v>
      </c>
      <c r="Z11" s="26">
        <v>-1049</v>
      </c>
      <c r="AA11" s="26">
        <v>-1118</v>
      </c>
      <c r="AB11" s="26">
        <v>-1260</v>
      </c>
      <c r="AC11" s="26">
        <v>-7317.9</v>
      </c>
      <c r="AD11" s="33">
        <f t="shared" si="3"/>
        <v>131.3842857142856</v>
      </c>
      <c r="AF11" s="51">
        <v>1</v>
      </c>
    </row>
    <row r="12" spans="1:32" ht="15" customHeight="1" x14ac:dyDescent="0.2">
      <c r="A12" s="4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>
        <v>621</v>
      </c>
      <c r="L12" s="16">
        <v>461</v>
      </c>
      <c r="M12" s="16">
        <v>-120</v>
      </c>
      <c r="N12" s="16">
        <v>164</v>
      </c>
      <c r="O12" s="17">
        <v>36</v>
      </c>
      <c r="P12" s="17">
        <v>-258</v>
      </c>
      <c r="Q12" s="17">
        <v>-673</v>
      </c>
      <c r="R12" s="17">
        <v>-798</v>
      </c>
      <c r="S12" s="17">
        <v>-748</v>
      </c>
      <c r="T12" s="17">
        <v>-848</v>
      </c>
      <c r="U12" s="17">
        <v>-614</v>
      </c>
      <c r="V12" s="17">
        <v>-1894</v>
      </c>
      <c r="W12" s="17">
        <v>-1797</v>
      </c>
      <c r="X12" s="17">
        <v>-1740</v>
      </c>
      <c r="Y12" s="17">
        <v>-1969</v>
      </c>
      <c r="Z12" s="17">
        <v>-2021</v>
      </c>
      <c r="AA12" s="17">
        <v>-1853</v>
      </c>
      <c r="AB12" s="17">
        <v>-1637</v>
      </c>
      <c r="AC12" s="17">
        <v>-1528</v>
      </c>
      <c r="AD12" s="33">
        <f t="shared" si="3"/>
        <v>-906.10526315789468</v>
      </c>
      <c r="AF12" s="51">
        <v>0</v>
      </c>
    </row>
    <row r="13" spans="1:32" ht="15" customHeight="1" x14ac:dyDescent="0.2">
      <c r="A13" s="22" t="s">
        <v>11</v>
      </c>
      <c r="B13" s="26"/>
      <c r="C13" s="26"/>
      <c r="D13" s="26"/>
      <c r="E13" s="26">
        <v>1901</v>
      </c>
      <c r="F13" s="26">
        <v>1832</v>
      </c>
      <c r="G13" s="26">
        <v>1840</v>
      </c>
      <c r="H13" s="26">
        <v>1903</v>
      </c>
      <c r="I13" s="26">
        <v>2020</v>
      </c>
      <c r="J13" s="26">
        <v>2340</v>
      </c>
      <c r="K13" s="26">
        <v>2253</v>
      </c>
      <c r="L13" s="26">
        <v>2189</v>
      </c>
      <c r="M13" s="26">
        <v>1846</v>
      </c>
      <c r="N13" s="26">
        <v>1687</v>
      </c>
      <c r="O13" s="26">
        <v>1236</v>
      </c>
      <c r="P13" s="26">
        <v>1048</v>
      </c>
      <c r="Q13" s="26">
        <v>823</v>
      </c>
      <c r="R13" s="26">
        <v>-23</v>
      </c>
      <c r="S13" s="26">
        <v>-323</v>
      </c>
      <c r="T13" s="26">
        <v>-449</v>
      </c>
      <c r="U13" s="26">
        <v>-558</v>
      </c>
      <c r="V13" s="26">
        <v>-624</v>
      </c>
      <c r="W13" s="26">
        <v>-1033</v>
      </c>
      <c r="X13" s="26">
        <v>-1314</v>
      </c>
      <c r="Y13" s="26">
        <v>-1645</v>
      </c>
      <c r="Z13" s="26">
        <v>-5799</v>
      </c>
      <c r="AA13" s="26">
        <v>-5933</v>
      </c>
      <c r="AB13" s="26">
        <v>-6001</v>
      </c>
      <c r="AC13" s="26">
        <v>-6709</v>
      </c>
      <c r="AD13" s="33">
        <f t="shared" si="3"/>
        <v>-299.72000000000003</v>
      </c>
      <c r="AF13" s="51">
        <v>1</v>
      </c>
    </row>
    <row r="14" spans="1:32" ht="15" customHeight="1" x14ac:dyDescent="0.2">
      <c r="A14" s="4" t="s">
        <v>12</v>
      </c>
      <c r="B14" s="16">
        <v>4192</v>
      </c>
      <c r="C14" s="16">
        <v>4426</v>
      </c>
      <c r="D14" s="16">
        <v>4515</v>
      </c>
      <c r="E14" s="16">
        <v>4745</v>
      </c>
      <c r="F14" s="16">
        <v>5031</v>
      </c>
      <c r="G14" s="16">
        <v>5323</v>
      </c>
      <c r="H14" s="16">
        <v>5710</v>
      </c>
      <c r="I14" s="16">
        <v>5766</v>
      </c>
      <c r="J14" s="16">
        <v>6063</v>
      </c>
      <c r="K14" s="16">
        <v>6220</v>
      </c>
      <c r="L14" s="16">
        <v>6537</v>
      </c>
      <c r="M14" s="16">
        <v>6746</v>
      </c>
      <c r="N14" s="16">
        <v>6861</v>
      </c>
      <c r="O14" s="17">
        <v>7157</v>
      </c>
      <c r="P14" s="17">
        <v>7375</v>
      </c>
      <c r="Q14" s="17">
        <v>7065</v>
      </c>
      <c r="R14" s="17">
        <v>6974</v>
      </c>
      <c r="S14" s="17">
        <v>7264</v>
      </c>
      <c r="T14" s="17">
        <v>7443</v>
      </c>
      <c r="U14" s="17">
        <v>4348</v>
      </c>
      <c r="V14" s="17">
        <v>4363</v>
      </c>
      <c r="W14" s="17">
        <v>4355</v>
      </c>
      <c r="X14" s="17">
        <v>4190</v>
      </c>
      <c r="Y14" s="17">
        <v>4103</v>
      </c>
      <c r="Z14" s="17">
        <v>3860</v>
      </c>
      <c r="AA14" s="17">
        <v>3788.53</v>
      </c>
      <c r="AB14" s="17">
        <v>3845.67</v>
      </c>
      <c r="AC14" s="17">
        <v>3837</v>
      </c>
      <c r="AD14" s="33">
        <f t="shared" si="3"/>
        <v>5432.2571428571437</v>
      </c>
      <c r="AF14" s="51">
        <v>1</v>
      </c>
    </row>
    <row r="15" spans="1:32" ht="15" customHeight="1" x14ac:dyDescent="0.2">
      <c r="A15" s="22" t="s">
        <v>13</v>
      </c>
      <c r="B15" s="26"/>
      <c r="C15" s="26">
        <v>3158</v>
      </c>
      <c r="D15" s="26">
        <v>3286</v>
      </c>
      <c r="E15" s="26">
        <v>3466</v>
      </c>
      <c r="F15" s="26">
        <v>3491</v>
      </c>
      <c r="G15" s="26">
        <v>3553</v>
      </c>
      <c r="H15" s="26">
        <v>3551</v>
      </c>
      <c r="I15" s="26">
        <v>3640</v>
      </c>
      <c r="J15" s="26">
        <v>3586</v>
      </c>
      <c r="K15" s="26">
        <v>3794</v>
      </c>
      <c r="L15" s="26">
        <v>3998</v>
      </c>
      <c r="M15" s="26">
        <v>3680</v>
      </c>
      <c r="N15" s="26">
        <v>3511</v>
      </c>
      <c r="O15" s="26">
        <v>3339</v>
      </c>
      <c r="P15" s="26">
        <v>3165</v>
      </c>
      <c r="Q15" s="26">
        <v>2807</v>
      </c>
      <c r="R15" s="26">
        <v>2385</v>
      </c>
      <c r="S15" s="26">
        <v>2153</v>
      </c>
      <c r="T15" s="26">
        <v>2213</v>
      </c>
      <c r="U15" s="26">
        <v>2269</v>
      </c>
      <c r="V15" s="26">
        <v>2263</v>
      </c>
      <c r="W15" s="26">
        <v>2445</v>
      </c>
      <c r="X15" s="26">
        <v>2440</v>
      </c>
      <c r="Y15" s="26">
        <v>2296</v>
      </c>
      <c r="Z15" s="26">
        <v>2132</v>
      </c>
      <c r="AA15" s="26">
        <v>1970</v>
      </c>
      <c r="AB15" s="26">
        <v>1950</v>
      </c>
      <c r="AC15" s="26" t="s">
        <v>1</v>
      </c>
      <c r="AD15" s="33">
        <f t="shared" si="3"/>
        <v>2943.8846153846152</v>
      </c>
      <c r="AF15" s="51" t="s">
        <v>88</v>
      </c>
    </row>
    <row r="16" spans="1:32" ht="15" customHeight="1" x14ac:dyDescent="0.2">
      <c r="A16" s="4" t="s">
        <v>14</v>
      </c>
      <c r="B16" s="16">
        <v>4869</v>
      </c>
      <c r="C16" s="16">
        <v>5030</v>
      </c>
      <c r="D16" s="16">
        <v>5058</v>
      </c>
      <c r="E16" s="16">
        <v>5133</v>
      </c>
      <c r="F16" s="16">
        <v>5345</v>
      </c>
      <c r="G16" s="16">
        <v>5667</v>
      </c>
      <c r="H16" s="16">
        <v>5802</v>
      </c>
      <c r="I16" s="16">
        <v>6010</v>
      </c>
      <c r="J16" s="16">
        <v>6229</v>
      </c>
      <c r="K16" s="16">
        <v>6381</v>
      </c>
      <c r="L16" s="16">
        <v>6426</v>
      </c>
      <c r="M16" s="16">
        <v>6473</v>
      </c>
      <c r="N16" s="16">
        <v>6547</v>
      </c>
      <c r="O16" s="17">
        <v>7033</v>
      </c>
      <c r="P16" s="17">
        <v>7428</v>
      </c>
      <c r="Q16" s="17">
        <v>5854</v>
      </c>
      <c r="R16" s="17">
        <v>4069</v>
      </c>
      <c r="S16" s="17">
        <v>3773.5</v>
      </c>
      <c r="T16" s="17">
        <v>3683.5</v>
      </c>
      <c r="U16" s="17">
        <v>3810.7</v>
      </c>
      <c r="V16" s="17">
        <v>3557</v>
      </c>
      <c r="W16" s="17">
        <v>3297</v>
      </c>
      <c r="X16" s="17">
        <v>3509</v>
      </c>
      <c r="Y16" s="17">
        <v>3678</v>
      </c>
      <c r="Z16" s="17">
        <v>4303</v>
      </c>
      <c r="AA16" s="17">
        <v>3966</v>
      </c>
      <c r="AB16" s="17">
        <v>4130</v>
      </c>
      <c r="AC16" s="17">
        <v>3458</v>
      </c>
      <c r="AD16" s="33">
        <f t="shared" si="3"/>
        <v>5018.5607142857143</v>
      </c>
      <c r="AF16" s="51">
        <v>1</v>
      </c>
    </row>
    <row r="17" spans="1:32" ht="15" customHeight="1" x14ac:dyDescent="0.2">
      <c r="A17" s="22" t="s">
        <v>15</v>
      </c>
      <c r="B17" s="26"/>
      <c r="C17" s="26"/>
      <c r="D17" s="26">
        <v>1640</v>
      </c>
      <c r="E17" s="26">
        <v>1889</v>
      </c>
      <c r="F17" s="26"/>
      <c r="G17" s="26"/>
      <c r="H17" s="26">
        <v>2645</v>
      </c>
      <c r="I17" s="26">
        <v>2723</v>
      </c>
      <c r="J17" s="26">
        <v>2506</v>
      </c>
      <c r="K17" s="26">
        <v>2542</v>
      </c>
      <c r="L17" s="26">
        <v>2505</v>
      </c>
      <c r="M17" s="26">
        <v>1918</v>
      </c>
      <c r="N17" s="26">
        <v>1544</v>
      </c>
      <c r="O17" s="26">
        <v>1454</v>
      </c>
      <c r="P17" s="26">
        <v>1636</v>
      </c>
      <c r="Q17" s="26">
        <v>1699</v>
      </c>
      <c r="R17" s="26">
        <v>1912</v>
      </c>
      <c r="S17" s="26">
        <v>1673</v>
      </c>
      <c r="T17" s="26">
        <v>1645</v>
      </c>
      <c r="U17" s="26">
        <v>1696</v>
      </c>
      <c r="V17" s="26">
        <v>1742</v>
      </c>
      <c r="W17" s="26">
        <v>1420</v>
      </c>
      <c r="X17" s="26">
        <v>1489</v>
      </c>
      <c r="Y17" s="26">
        <v>1595</v>
      </c>
      <c r="Z17" s="26">
        <v>1093</v>
      </c>
      <c r="AA17" s="26">
        <v>892</v>
      </c>
      <c r="AB17" s="26">
        <v>889</v>
      </c>
      <c r="AC17" s="26">
        <v>891</v>
      </c>
      <c r="AD17" s="33">
        <f t="shared" si="3"/>
        <v>1734.9166666666667</v>
      </c>
      <c r="AF17" s="51">
        <v>1</v>
      </c>
    </row>
    <row r="18" spans="1:32" ht="15" customHeight="1" x14ac:dyDescent="0.2">
      <c r="A18" s="4" t="s">
        <v>16</v>
      </c>
      <c r="B18" s="16">
        <v>3342</v>
      </c>
      <c r="C18" s="16">
        <v>3790</v>
      </c>
      <c r="D18" s="16">
        <v>4124</v>
      </c>
      <c r="E18" s="16">
        <v>4069</v>
      </c>
      <c r="F18" s="16">
        <v>4205</v>
      </c>
      <c r="G18" s="16">
        <v>4363</v>
      </c>
      <c r="H18" s="16">
        <v>4610</v>
      </c>
      <c r="I18" s="16">
        <v>4680</v>
      </c>
      <c r="J18" s="16">
        <v>4797</v>
      </c>
      <c r="K18" s="16">
        <v>4622</v>
      </c>
      <c r="L18" s="16">
        <v>4225</v>
      </c>
      <c r="M18" s="16">
        <v>3858</v>
      </c>
      <c r="N18" s="16">
        <v>3612</v>
      </c>
      <c r="O18" s="17">
        <v>3183</v>
      </c>
      <c r="P18" s="17">
        <v>3211</v>
      </c>
      <c r="Q18" s="17">
        <v>3015</v>
      </c>
      <c r="R18" s="17">
        <v>2681.7</v>
      </c>
      <c r="S18" s="17">
        <v>2616.5</v>
      </c>
      <c r="T18" s="17">
        <v>2874.9</v>
      </c>
      <c r="U18" s="17">
        <v>3037.07</v>
      </c>
      <c r="V18" s="17">
        <v>3232.3</v>
      </c>
      <c r="W18" s="17">
        <v>2791.34</v>
      </c>
      <c r="X18" s="17">
        <v>2550</v>
      </c>
      <c r="Y18" s="17">
        <v>2266</v>
      </c>
      <c r="Z18" s="17">
        <v>891</v>
      </c>
      <c r="AA18" s="17">
        <v>352</v>
      </c>
      <c r="AB18" s="17">
        <v>87</v>
      </c>
      <c r="AC18" s="17">
        <v>-334</v>
      </c>
      <c r="AD18" s="33">
        <f t="shared" si="3"/>
        <v>3098.2789285714284</v>
      </c>
      <c r="AF18" s="51">
        <v>1</v>
      </c>
    </row>
    <row r="19" spans="1:32" ht="15" customHeight="1" x14ac:dyDescent="0.2">
      <c r="A19" s="22" t="s">
        <v>17</v>
      </c>
      <c r="B19" s="26"/>
      <c r="C19" s="26"/>
      <c r="D19" s="26"/>
      <c r="E19" s="26"/>
      <c r="F19" s="26"/>
      <c r="G19" s="26"/>
      <c r="H19" s="26" t="s">
        <v>28</v>
      </c>
      <c r="I19" s="26">
        <v>2776</v>
      </c>
      <c r="J19" s="26">
        <v>2872</v>
      </c>
      <c r="K19" s="26">
        <v>2773</v>
      </c>
      <c r="L19" s="26">
        <v>2963</v>
      </c>
      <c r="M19" s="26">
        <v>2760</v>
      </c>
      <c r="N19" s="26">
        <v>2316</v>
      </c>
      <c r="O19" s="26">
        <v>1974</v>
      </c>
      <c r="P19" s="26">
        <v>1858</v>
      </c>
      <c r="Q19" s="26">
        <v>1509</v>
      </c>
      <c r="R19" s="26">
        <v>1520</v>
      </c>
      <c r="S19" s="26">
        <v>1660</v>
      </c>
      <c r="T19" s="26">
        <v>1484</v>
      </c>
      <c r="U19" s="26">
        <v>1658</v>
      </c>
      <c r="V19" s="26">
        <v>1567</v>
      </c>
      <c r="W19" s="26">
        <v>1813.99</v>
      </c>
      <c r="X19" s="26">
        <v>1962</v>
      </c>
      <c r="Y19" s="26">
        <v>1704</v>
      </c>
      <c r="Z19" s="26">
        <v>1341</v>
      </c>
      <c r="AA19" s="26">
        <v>823</v>
      </c>
      <c r="AB19" s="26">
        <v>567.58179537888918</v>
      </c>
      <c r="AC19" s="26">
        <v>618.45717875903404</v>
      </c>
      <c r="AD19" s="33">
        <f t="shared" si="3"/>
        <v>1834.2870940065677</v>
      </c>
      <c r="AF19" s="51">
        <v>1</v>
      </c>
    </row>
    <row r="20" spans="1:32" ht="15" customHeight="1" x14ac:dyDescent="0.2">
      <c r="A20" s="4" t="s">
        <v>18</v>
      </c>
      <c r="B20" s="16"/>
      <c r="C20" s="16"/>
      <c r="D20" s="16"/>
      <c r="E20" s="16"/>
      <c r="F20" s="16"/>
      <c r="G20" s="16">
        <v>2806</v>
      </c>
      <c r="H20" s="16">
        <v>3068</v>
      </c>
      <c r="I20" s="16">
        <v>3167</v>
      </c>
      <c r="J20" s="16">
        <v>2969</v>
      </c>
      <c r="K20" s="16">
        <v>2473</v>
      </c>
      <c r="L20" s="16">
        <v>2292</v>
      </c>
      <c r="M20" s="16">
        <v>2134</v>
      </c>
      <c r="N20" s="16">
        <v>2461</v>
      </c>
      <c r="O20" s="17">
        <v>2396</v>
      </c>
      <c r="P20" s="17">
        <v>2153</v>
      </c>
      <c r="Q20" s="17">
        <v>1790</v>
      </c>
      <c r="R20" s="17">
        <v>1361</v>
      </c>
      <c r="S20" s="17">
        <v>892</v>
      </c>
      <c r="T20" s="17">
        <v>612</v>
      </c>
      <c r="U20" s="17">
        <v>724</v>
      </c>
      <c r="V20" s="17">
        <v>920</v>
      </c>
      <c r="W20" s="17">
        <v>1172</v>
      </c>
      <c r="X20" s="17">
        <v>1401</v>
      </c>
      <c r="Y20" s="17">
        <v>1482</v>
      </c>
      <c r="Z20" s="17">
        <v>1249</v>
      </c>
      <c r="AA20" s="17">
        <v>1092</v>
      </c>
      <c r="AB20" s="17">
        <v>1155</v>
      </c>
      <c r="AC20" s="17">
        <v>1286</v>
      </c>
      <c r="AD20" s="33">
        <f t="shared" si="3"/>
        <v>1785</v>
      </c>
      <c r="AF20" s="51">
        <v>0</v>
      </c>
    </row>
    <row r="21" spans="1:32" ht="15" customHeight="1" x14ac:dyDescent="0.2">
      <c r="A21" s="22" t="s">
        <v>19</v>
      </c>
      <c r="B21" s="26">
        <v>1186</v>
      </c>
      <c r="C21" s="26">
        <v>1664</v>
      </c>
      <c r="D21" s="26">
        <v>2081</v>
      </c>
      <c r="E21" s="26">
        <v>2199</v>
      </c>
      <c r="F21" s="26">
        <v>2232</v>
      </c>
      <c r="G21" s="26">
        <v>2203</v>
      </c>
      <c r="H21" s="26">
        <v>2157</v>
      </c>
      <c r="I21" s="26">
        <v>2171</v>
      </c>
      <c r="J21" s="26">
        <v>2136</v>
      </c>
      <c r="K21" s="26">
        <v>1989</v>
      </c>
      <c r="L21" s="26">
        <v>1946</v>
      </c>
      <c r="M21" s="26">
        <v>1511</v>
      </c>
      <c r="N21" s="26">
        <v>1069</v>
      </c>
      <c r="O21" s="26">
        <v>923</v>
      </c>
      <c r="P21" s="26">
        <v>609</v>
      </c>
      <c r="Q21" s="26">
        <v>625</v>
      </c>
      <c r="R21" s="26">
        <v>361</v>
      </c>
      <c r="S21" s="26">
        <v>328</v>
      </c>
      <c r="T21" s="26">
        <v>223</v>
      </c>
      <c r="U21" s="26">
        <v>135</v>
      </c>
      <c r="V21" s="26">
        <v>-17</v>
      </c>
      <c r="W21" s="26">
        <v>86</v>
      </c>
      <c r="X21" s="26">
        <v>287</v>
      </c>
      <c r="Y21" s="26">
        <v>461</v>
      </c>
      <c r="Z21" s="26">
        <v>408</v>
      </c>
      <c r="AA21" s="26">
        <v>-608</v>
      </c>
      <c r="AB21" s="26">
        <v>-808</v>
      </c>
      <c r="AC21" s="26">
        <v>-967</v>
      </c>
      <c r="AD21" s="33">
        <f t="shared" si="3"/>
        <v>949.64285714285711</v>
      </c>
      <c r="AF21" s="51">
        <v>1</v>
      </c>
    </row>
    <row r="22" spans="1:32" ht="15" customHeight="1" x14ac:dyDescent="0.2">
      <c r="A22" s="4" t="s">
        <v>20</v>
      </c>
      <c r="B22" s="16">
        <v>2828</v>
      </c>
      <c r="C22" s="16">
        <v>3107</v>
      </c>
      <c r="D22" s="16">
        <v>3106</v>
      </c>
      <c r="E22" s="16">
        <v>3199</v>
      </c>
      <c r="F22" s="16">
        <v>3375</v>
      </c>
      <c r="G22" s="16">
        <v>3584</v>
      </c>
      <c r="H22" s="16">
        <v>3770</v>
      </c>
      <c r="I22" s="16">
        <v>3799</v>
      </c>
      <c r="J22" s="16">
        <v>3871</v>
      </c>
      <c r="K22" s="16">
        <v>3870</v>
      </c>
      <c r="L22" s="16">
        <v>3719</v>
      </c>
      <c r="M22" s="16">
        <v>3928</v>
      </c>
      <c r="N22" s="16">
        <v>3106</v>
      </c>
      <c r="O22" s="17">
        <v>2889</v>
      </c>
      <c r="P22" s="17">
        <v>2797.2</v>
      </c>
      <c r="Q22" s="17">
        <v>2702.2</v>
      </c>
      <c r="R22" s="17">
        <v>2399.9</v>
      </c>
      <c r="S22" s="17">
        <v>2029.3</v>
      </c>
      <c r="T22" s="17">
        <v>1734.59</v>
      </c>
      <c r="U22" s="17">
        <v>1456.1</v>
      </c>
      <c r="V22" s="17">
        <v>1198</v>
      </c>
      <c r="W22" s="17">
        <v>1124</v>
      </c>
      <c r="X22" s="17">
        <v>1225</v>
      </c>
      <c r="Y22" s="17">
        <v>1010.6</v>
      </c>
      <c r="Z22" s="17">
        <v>787</v>
      </c>
      <c r="AA22" s="17">
        <v>535</v>
      </c>
      <c r="AB22" s="17">
        <v>345</v>
      </c>
      <c r="AC22" s="17">
        <v>191</v>
      </c>
      <c r="AD22" s="33">
        <f t="shared" si="3"/>
        <v>2417.3532142857143</v>
      </c>
      <c r="AF22" s="51">
        <v>1</v>
      </c>
    </row>
    <row r="23" spans="1:32" ht="15" customHeight="1" x14ac:dyDescent="0.2">
      <c r="A23" s="22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>
        <v>1376</v>
      </c>
      <c r="L23" s="26">
        <v>386</v>
      </c>
      <c r="M23" s="26">
        <v>221</v>
      </c>
      <c r="N23" s="26">
        <v>203</v>
      </c>
      <c r="O23" s="26">
        <v>203</v>
      </c>
      <c r="P23" s="26">
        <v>187</v>
      </c>
      <c r="Q23" s="26">
        <v>122</v>
      </c>
      <c r="R23" s="26">
        <v>11</v>
      </c>
      <c r="S23" s="26">
        <v>-111</v>
      </c>
      <c r="T23" s="26">
        <v>-188</v>
      </c>
      <c r="U23" s="26">
        <v>-323</v>
      </c>
      <c r="V23" s="26">
        <v>-319</v>
      </c>
      <c r="W23" s="26">
        <v>-257</v>
      </c>
      <c r="X23" s="26">
        <v>-131</v>
      </c>
      <c r="Y23" s="26">
        <v>5</v>
      </c>
      <c r="Z23" s="26">
        <v>157</v>
      </c>
      <c r="AA23" s="26">
        <v>149</v>
      </c>
      <c r="AB23" s="26">
        <v>-287</v>
      </c>
      <c r="AC23" s="26">
        <v>-219</v>
      </c>
      <c r="AD23" s="33">
        <f t="shared" si="3"/>
        <v>62.368421052631582</v>
      </c>
      <c r="AF23" s="51">
        <v>1</v>
      </c>
    </row>
    <row r="24" spans="1:32" ht="15" customHeight="1" x14ac:dyDescent="0.2">
      <c r="A24" s="4" t="s">
        <v>22</v>
      </c>
      <c r="B24" s="16"/>
      <c r="C24" s="16">
        <v>4647</v>
      </c>
      <c r="D24" s="16">
        <v>4772</v>
      </c>
      <c r="E24" s="16">
        <v>4997</v>
      </c>
      <c r="F24" s="16">
        <v>5057</v>
      </c>
      <c r="G24" s="16">
        <v>5215</v>
      </c>
      <c r="H24" s="16">
        <v>5299</v>
      </c>
      <c r="I24" s="16">
        <v>5213</v>
      </c>
      <c r="J24" s="16">
        <v>5046</v>
      </c>
      <c r="K24" s="16">
        <v>4319</v>
      </c>
      <c r="L24" s="16">
        <v>4020</v>
      </c>
      <c r="M24" s="16">
        <v>3798</v>
      </c>
      <c r="N24" s="16">
        <v>3740</v>
      </c>
      <c r="O24" s="17">
        <v>3902</v>
      </c>
      <c r="P24" s="17">
        <v>4067</v>
      </c>
      <c r="Q24" s="17">
        <v>4088</v>
      </c>
      <c r="R24" s="17">
        <v>4023.5</v>
      </c>
      <c r="S24" s="17">
        <v>4033.2</v>
      </c>
      <c r="T24" s="17">
        <v>3706</v>
      </c>
      <c r="U24" s="17">
        <v>3526.1</v>
      </c>
      <c r="V24" s="17">
        <v>3566.8</v>
      </c>
      <c r="W24" s="17">
        <v>3731</v>
      </c>
      <c r="X24" s="17">
        <v>4079</v>
      </c>
      <c r="Y24" s="17">
        <v>4265</v>
      </c>
      <c r="Z24" s="17">
        <v>4512</v>
      </c>
      <c r="AA24" s="17">
        <v>4552</v>
      </c>
      <c r="AB24" s="17">
        <v>4557</v>
      </c>
      <c r="AC24" s="17">
        <v>4745</v>
      </c>
      <c r="AD24" s="33">
        <f t="shared" si="3"/>
        <v>4350.9851851851854</v>
      </c>
      <c r="AF24" s="51">
        <v>0</v>
      </c>
    </row>
    <row r="25" spans="1:32" ht="15" customHeight="1" x14ac:dyDescent="0.2">
      <c r="A25" s="22" t="s">
        <v>23</v>
      </c>
      <c r="B25" s="26">
        <v>1218</v>
      </c>
      <c r="C25" s="26">
        <v>1239</v>
      </c>
      <c r="D25" s="26">
        <v>1235</v>
      </c>
      <c r="E25" s="26">
        <v>1195</v>
      </c>
      <c r="F25" s="26">
        <v>1252</v>
      </c>
      <c r="G25" s="26">
        <v>1157</v>
      </c>
      <c r="H25" s="26">
        <v>1304</v>
      </c>
      <c r="I25" s="26">
        <v>1632</v>
      </c>
      <c r="J25" s="26">
        <v>1662</v>
      </c>
      <c r="K25" s="26">
        <v>1737</v>
      </c>
      <c r="L25" s="26">
        <v>1592</v>
      </c>
      <c r="M25" s="26">
        <v>1602</v>
      </c>
      <c r="N25" s="26">
        <v>1519</v>
      </c>
      <c r="O25" s="26">
        <v>1365</v>
      </c>
      <c r="P25" s="26">
        <v>1191</v>
      </c>
      <c r="Q25" s="26">
        <v>1230</v>
      </c>
      <c r="R25" s="26">
        <v>1143</v>
      </c>
      <c r="S25" s="26">
        <v>977</v>
      </c>
      <c r="T25" s="26">
        <v>771</v>
      </c>
      <c r="U25" s="26">
        <v>734</v>
      </c>
      <c r="V25" s="26">
        <v>679</v>
      </c>
      <c r="W25" s="26">
        <v>380</v>
      </c>
      <c r="X25" s="26">
        <v>159</v>
      </c>
      <c r="Y25" s="26">
        <v>-737</v>
      </c>
      <c r="Z25" s="26">
        <v>-709</v>
      </c>
      <c r="AA25" s="26">
        <v>-570</v>
      </c>
      <c r="AB25" s="26">
        <v>-259</v>
      </c>
      <c r="AC25" s="26">
        <v>-31</v>
      </c>
      <c r="AD25" s="33">
        <f t="shared" si="3"/>
        <v>880.96428571428567</v>
      </c>
      <c r="AF25" s="51">
        <v>0</v>
      </c>
    </row>
    <row r="26" spans="1:32" ht="15" customHeight="1" x14ac:dyDescent="0.2">
      <c r="A26" s="4" t="s">
        <v>24</v>
      </c>
      <c r="B26" s="16">
        <v>5859</v>
      </c>
      <c r="C26" s="16">
        <v>6601</v>
      </c>
      <c r="D26" s="16">
        <v>6668</v>
      </c>
      <c r="E26" s="16">
        <v>6812</v>
      </c>
      <c r="F26" s="16">
        <v>6839</v>
      </c>
      <c r="G26" s="16">
        <v>6839</v>
      </c>
      <c r="H26" s="16">
        <v>6281</v>
      </c>
      <c r="I26" s="16">
        <v>6318</v>
      </c>
      <c r="J26" s="16">
        <v>6644</v>
      </c>
      <c r="K26" s="16">
        <v>6738</v>
      </c>
      <c r="L26" s="16">
        <v>6621</v>
      </c>
      <c r="M26" s="16">
        <v>6301</v>
      </c>
      <c r="N26" s="16">
        <v>5926</v>
      </c>
      <c r="O26" s="17">
        <v>5376</v>
      </c>
      <c r="P26" s="17">
        <v>2850</v>
      </c>
      <c r="Q26" s="17">
        <v>2346</v>
      </c>
      <c r="R26" s="17">
        <v>1943</v>
      </c>
      <c r="S26" s="17">
        <v>1808</v>
      </c>
      <c r="T26" s="17">
        <v>1426</v>
      </c>
      <c r="U26" s="17">
        <v>1311</v>
      </c>
      <c r="V26" s="17">
        <v>984</v>
      </c>
      <c r="W26" s="17">
        <v>1143.29</v>
      </c>
      <c r="X26" s="17">
        <v>1167.83</v>
      </c>
      <c r="Y26" s="17">
        <v>1365.17</v>
      </c>
      <c r="Z26" s="17">
        <v>1599.88</v>
      </c>
      <c r="AA26" s="17">
        <v>1629.85</v>
      </c>
      <c r="AB26" s="17">
        <v>1446</v>
      </c>
      <c r="AC26" s="17">
        <v>1271.1400000000001</v>
      </c>
      <c r="AD26" s="33">
        <f t="shared" si="3"/>
        <v>4004.0771428571429</v>
      </c>
      <c r="AF26" s="51">
        <v>1</v>
      </c>
    </row>
    <row r="27" spans="1:32" ht="15" customHeight="1" x14ac:dyDescent="0.2">
      <c r="A27" s="22" t="s">
        <v>25</v>
      </c>
      <c r="B27" s="26">
        <v>2580</v>
      </c>
      <c r="C27" s="26">
        <v>3100</v>
      </c>
      <c r="D27" s="26">
        <v>3438</v>
      </c>
      <c r="E27" s="26">
        <v>3786</v>
      </c>
      <c r="F27" s="26">
        <v>4065</v>
      </c>
      <c r="G27" s="26">
        <v>4086</v>
      </c>
      <c r="H27" s="26">
        <v>4058</v>
      </c>
      <c r="I27" s="26">
        <v>4086</v>
      </c>
      <c r="J27" s="26">
        <v>3991</v>
      </c>
      <c r="K27" s="26">
        <v>4055</v>
      </c>
      <c r="L27" s="26">
        <v>3993</v>
      </c>
      <c r="M27" s="26">
        <v>4078</v>
      </c>
      <c r="N27" s="26">
        <v>4448</v>
      </c>
      <c r="O27" s="26">
        <v>4227</v>
      </c>
      <c r="P27" s="26">
        <v>3835</v>
      </c>
      <c r="Q27" s="26">
        <v>3584</v>
      </c>
      <c r="R27" s="26">
        <v>3340</v>
      </c>
      <c r="S27" s="26">
        <v>3017</v>
      </c>
      <c r="T27" s="26">
        <v>2947</v>
      </c>
      <c r="U27" s="26">
        <v>2876</v>
      </c>
      <c r="V27" s="26">
        <v>3025</v>
      </c>
      <c r="W27" s="26">
        <v>3350</v>
      </c>
      <c r="X27" s="26">
        <v>3248</v>
      </c>
      <c r="Y27" s="26">
        <v>3348</v>
      </c>
      <c r="Z27" s="26">
        <v>3374</v>
      </c>
      <c r="AA27" s="26">
        <v>3497</v>
      </c>
      <c r="AB27" s="26">
        <v>3608</v>
      </c>
      <c r="AC27" s="26">
        <v>3712.167842261942</v>
      </c>
      <c r="AD27" s="33">
        <f t="shared" si="3"/>
        <v>3598.2917086522125</v>
      </c>
      <c r="AF27" s="51">
        <v>0</v>
      </c>
    </row>
    <row r="28" spans="1:32" ht="15" customHeight="1" x14ac:dyDescent="0.2">
      <c r="A28" s="4" t="s">
        <v>26</v>
      </c>
      <c r="B28" s="16">
        <v>144</v>
      </c>
      <c r="C28" s="16">
        <v>561</v>
      </c>
      <c r="D28" s="16"/>
      <c r="E28" s="16">
        <v>1273</v>
      </c>
      <c r="F28" s="16">
        <v>1398</v>
      </c>
      <c r="G28" s="16">
        <v>1345</v>
      </c>
      <c r="H28" s="16">
        <v>1432</v>
      </c>
      <c r="I28" s="16">
        <v>1104</v>
      </c>
      <c r="J28" s="16">
        <v>746</v>
      </c>
      <c r="K28" s="16">
        <v>687</v>
      </c>
      <c r="L28" s="16">
        <v>883</v>
      </c>
      <c r="M28" s="16">
        <v>1056</v>
      </c>
      <c r="N28" s="16">
        <v>1815</v>
      </c>
      <c r="O28" s="17">
        <v>1609</v>
      </c>
      <c r="P28" s="17">
        <v>1095</v>
      </c>
      <c r="Q28" s="17">
        <v>549.6</v>
      </c>
      <c r="R28" s="17">
        <v>-134.19999999999999</v>
      </c>
      <c r="S28" s="17">
        <v>-677.2</v>
      </c>
      <c r="T28" s="17">
        <v>-1207.8499999999999</v>
      </c>
      <c r="U28" s="17">
        <v>-1922.3</v>
      </c>
      <c r="V28" s="17">
        <v>-2247.58</v>
      </c>
      <c r="W28" s="17">
        <v>-2513.85</v>
      </c>
      <c r="X28" s="17">
        <v>-2467.63</v>
      </c>
      <c r="Y28" s="17">
        <v>-2016.9</v>
      </c>
      <c r="Z28" s="17">
        <v>-1979.3</v>
      </c>
      <c r="AA28" s="17">
        <v>-2321.1</v>
      </c>
      <c r="AB28" s="17">
        <v>-2493.8000000000002</v>
      </c>
      <c r="AC28" s="17">
        <v>-3222</v>
      </c>
      <c r="AD28" s="33">
        <f t="shared" si="3"/>
        <v>-278.00407407407414</v>
      </c>
      <c r="AF28" s="51">
        <v>1</v>
      </c>
    </row>
    <row r="29" spans="1:32" ht="15" customHeight="1" x14ac:dyDescent="0.2">
      <c r="A29" s="22" t="s">
        <v>27</v>
      </c>
      <c r="B29" s="26"/>
      <c r="C29" s="26">
        <v>3609</v>
      </c>
      <c r="D29" s="26">
        <v>4077</v>
      </c>
      <c r="E29" s="26">
        <v>4362</v>
      </c>
      <c r="F29" s="26">
        <v>4525</v>
      </c>
      <c r="G29" s="26">
        <v>3979</v>
      </c>
      <c r="H29" s="26">
        <v>4020</v>
      </c>
      <c r="I29" s="26">
        <v>3908</v>
      </c>
      <c r="J29" s="26">
        <v>3302</v>
      </c>
      <c r="K29" s="26">
        <v>2308</v>
      </c>
      <c r="L29" s="26">
        <v>1776</v>
      </c>
      <c r="M29" s="26">
        <v>1365</v>
      </c>
      <c r="N29" s="26">
        <v>1475</v>
      </c>
      <c r="O29" s="26">
        <v>1695</v>
      </c>
      <c r="P29" s="26">
        <v>443.7</v>
      </c>
      <c r="Q29" s="26">
        <v>259.60000000000002</v>
      </c>
      <c r="R29" s="26">
        <v>-94.8</v>
      </c>
      <c r="S29" s="26">
        <v>-11</v>
      </c>
      <c r="T29" s="26">
        <v>1132.4000000000001</v>
      </c>
      <c r="U29" s="26">
        <v>1388.8</v>
      </c>
      <c r="V29" s="26">
        <v>1598</v>
      </c>
      <c r="W29" s="26">
        <v>2035</v>
      </c>
      <c r="X29" s="26">
        <v>2230</v>
      </c>
      <c r="Y29" s="26">
        <v>2580</v>
      </c>
      <c r="Z29" s="26">
        <v>2587</v>
      </c>
      <c r="AA29" s="26">
        <v>2294</v>
      </c>
      <c r="AB29" s="26">
        <v>2322</v>
      </c>
      <c r="AC29" s="26">
        <v>2196</v>
      </c>
      <c r="AD29" s="33">
        <f t="shared" si="3"/>
        <v>2272.6555555555556</v>
      </c>
      <c r="AF29" s="51">
        <v>1</v>
      </c>
    </row>
    <row r="30" spans="1:32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32" ht="15" customHeight="1" x14ac:dyDescent="0.2">
      <c r="A31" s="21" t="s">
        <v>30</v>
      </c>
      <c r="B31" s="20">
        <f>MIN(B$4:B$29)</f>
        <v>144</v>
      </c>
      <c r="C31" s="20">
        <f>MIN(C$4:C$29)</f>
        <v>561</v>
      </c>
      <c r="D31" s="20">
        <f>MIN(D$4:D$29)</f>
        <v>557</v>
      </c>
      <c r="E31" s="20">
        <f t="shared" ref="E31:K31" si="4">MIN(E$4:E$29)</f>
        <v>339</v>
      </c>
      <c r="F31" s="20">
        <f t="shared" si="4"/>
        <v>270</v>
      </c>
      <c r="G31" s="20">
        <f t="shared" si="4"/>
        <v>480</v>
      </c>
      <c r="H31" s="20">
        <f t="shared" si="4"/>
        <v>210</v>
      </c>
      <c r="I31" s="20">
        <f t="shared" si="4"/>
        <v>185</v>
      </c>
      <c r="J31" s="20">
        <f t="shared" si="4"/>
        <v>153</v>
      </c>
      <c r="K31" s="20">
        <f t="shared" si="4"/>
        <v>116</v>
      </c>
      <c r="L31" s="20">
        <f t="shared" ref="L31:AD31" si="5">MIN(L$4:L$29)</f>
        <v>124</v>
      </c>
      <c r="M31" s="20">
        <f t="shared" si="5"/>
        <v>-120</v>
      </c>
      <c r="N31" s="20">
        <f t="shared" si="5"/>
        <v>164</v>
      </c>
      <c r="O31" s="20">
        <f t="shared" si="5"/>
        <v>36</v>
      </c>
      <c r="P31" s="20">
        <f t="shared" si="5"/>
        <v>-258</v>
      </c>
      <c r="Q31" s="20">
        <f t="shared" si="5"/>
        <v>-673</v>
      </c>
      <c r="R31" s="20">
        <f t="shared" si="5"/>
        <v>-994</v>
      </c>
      <c r="S31" s="20">
        <f t="shared" si="5"/>
        <v>-1039</v>
      </c>
      <c r="T31" s="20">
        <f t="shared" si="5"/>
        <v>-1207.8499999999999</v>
      </c>
      <c r="U31" s="20">
        <f t="shared" si="5"/>
        <v>-1922.3</v>
      </c>
      <c r="V31" s="20">
        <f t="shared" si="5"/>
        <v>-2247.58</v>
      </c>
      <c r="W31" s="20">
        <f t="shared" si="5"/>
        <v>-2513.85</v>
      </c>
      <c r="X31" s="20">
        <f t="shared" si="5"/>
        <v>-2467.63</v>
      </c>
      <c r="Y31" s="20">
        <f t="shared" si="5"/>
        <v>-2733</v>
      </c>
      <c r="Z31" s="20">
        <f t="shared" si="5"/>
        <v>-5799</v>
      </c>
      <c r="AA31" s="20">
        <f t="shared" si="5"/>
        <v>-5933</v>
      </c>
      <c r="AB31" s="20">
        <f t="shared" si="5"/>
        <v>-6001</v>
      </c>
      <c r="AC31" s="20">
        <f t="shared" si="5"/>
        <v>-7317.9</v>
      </c>
      <c r="AD31" s="20">
        <f t="shared" si="5"/>
        <v>-1055.1538461538462</v>
      </c>
    </row>
    <row r="32" spans="1:32" ht="15" customHeight="1" x14ac:dyDescent="0.2">
      <c r="A32" s="12" t="s">
        <v>80</v>
      </c>
      <c r="B32" s="18">
        <f>MEDIAN(B$4:B$29)</f>
        <v>2580</v>
      </c>
      <c r="C32" s="18">
        <f>MEDIAN(C$4:C$29)</f>
        <v>3103.5</v>
      </c>
      <c r="D32" s="18">
        <f>MEDIAN(D$4:D$29)</f>
        <v>3220</v>
      </c>
      <c r="E32" s="18">
        <f t="shared" ref="E32:K32" si="6">MEDIAN(E$4:E$29)</f>
        <v>3199</v>
      </c>
      <c r="F32" s="18">
        <f t="shared" si="6"/>
        <v>3433</v>
      </c>
      <c r="G32" s="18">
        <f t="shared" si="6"/>
        <v>3553</v>
      </c>
      <c r="H32" s="18">
        <f t="shared" si="6"/>
        <v>3453.5</v>
      </c>
      <c r="I32" s="18">
        <f t="shared" si="6"/>
        <v>3630</v>
      </c>
      <c r="J32" s="18">
        <f t="shared" si="6"/>
        <v>3302</v>
      </c>
      <c r="K32" s="18">
        <f t="shared" si="6"/>
        <v>2542</v>
      </c>
      <c r="L32" s="18">
        <f t="shared" ref="L32:AD32" si="7">MEDIAN(L$4:L$29)</f>
        <v>2505</v>
      </c>
      <c r="M32" s="18">
        <f t="shared" si="7"/>
        <v>2134</v>
      </c>
      <c r="N32" s="18">
        <f t="shared" si="7"/>
        <v>2316</v>
      </c>
      <c r="O32" s="18">
        <f t="shared" si="7"/>
        <v>1974</v>
      </c>
      <c r="P32" s="18">
        <f t="shared" si="7"/>
        <v>1858</v>
      </c>
      <c r="Q32" s="18">
        <f t="shared" si="7"/>
        <v>1744.5</v>
      </c>
      <c r="R32" s="18">
        <f t="shared" si="7"/>
        <v>1520</v>
      </c>
      <c r="S32" s="18">
        <f t="shared" si="7"/>
        <v>1660</v>
      </c>
      <c r="T32" s="18">
        <f t="shared" si="7"/>
        <v>1426</v>
      </c>
      <c r="U32" s="18">
        <f t="shared" si="7"/>
        <v>1388.8</v>
      </c>
      <c r="V32" s="18">
        <f t="shared" si="7"/>
        <v>1091</v>
      </c>
      <c r="W32" s="18">
        <f t="shared" si="7"/>
        <v>1157.645</v>
      </c>
      <c r="X32" s="18">
        <f t="shared" si="7"/>
        <v>1313</v>
      </c>
      <c r="Y32" s="18">
        <f t="shared" si="7"/>
        <v>1412.4349999999999</v>
      </c>
      <c r="Z32" s="18">
        <f t="shared" si="7"/>
        <v>992</v>
      </c>
      <c r="AA32" s="18">
        <f t="shared" si="7"/>
        <v>679</v>
      </c>
      <c r="AB32" s="18">
        <f t="shared" si="7"/>
        <v>456.29089768944459</v>
      </c>
      <c r="AC32" s="18">
        <f t="shared" si="7"/>
        <v>191</v>
      </c>
      <c r="AD32" s="18">
        <f t="shared" si="7"/>
        <v>1809.6435470032839</v>
      </c>
      <c r="AF32" s="42"/>
    </row>
    <row r="33" spans="1:32" ht="15" customHeight="1" x14ac:dyDescent="0.2">
      <c r="A33" s="21" t="s">
        <v>31</v>
      </c>
      <c r="B33" s="20">
        <f>MAX(B$4:B$29)</f>
        <v>5859</v>
      </c>
      <c r="C33" s="20">
        <f>MAX(C$4:C$29)</f>
        <v>11341</v>
      </c>
      <c r="D33" s="20">
        <f>MAX(D$4:D$29)</f>
        <v>12682</v>
      </c>
      <c r="E33" s="20">
        <f t="shared" ref="E33:K33" si="8">MAX(E$4:E$29)</f>
        <v>13046</v>
      </c>
      <c r="F33" s="20">
        <f t="shared" si="8"/>
        <v>14000</v>
      </c>
      <c r="G33" s="20">
        <f t="shared" si="8"/>
        <v>16783</v>
      </c>
      <c r="H33" s="20">
        <f t="shared" si="8"/>
        <v>18246</v>
      </c>
      <c r="I33" s="20">
        <f t="shared" si="8"/>
        <v>18224</v>
      </c>
      <c r="J33" s="20">
        <f t="shared" si="8"/>
        <v>18210</v>
      </c>
      <c r="K33" s="20">
        <f t="shared" si="8"/>
        <v>18278</v>
      </c>
      <c r="L33" s="20">
        <f t="shared" ref="L33:AD33" si="9">MAX(L$4:L$29)</f>
        <v>18416</v>
      </c>
      <c r="M33" s="20">
        <f t="shared" si="9"/>
        <v>18711</v>
      </c>
      <c r="N33" s="20">
        <f t="shared" si="9"/>
        <v>18388</v>
      </c>
      <c r="O33" s="20">
        <f t="shared" si="9"/>
        <v>17999</v>
      </c>
      <c r="P33" s="20">
        <f t="shared" si="9"/>
        <v>16985</v>
      </c>
      <c r="Q33" s="20">
        <f t="shared" si="9"/>
        <v>12231</v>
      </c>
      <c r="R33" s="20">
        <f t="shared" si="9"/>
        <v>14925</v>
      </c>
      <c r="S33" s="20">
        <f t="shared" si="9"/>
        <v>14410</v>
      </c>
      <c r="T33" s="20">
        <f t="shared" si="9"/>
        <v>13036</v>
      </c>
      <c r="U33" s="20">
        <f t="shared" si="9"/>
        <v>9495</v>
      </c>
      <c r="V33" s="20">
        <f t="shared" si="9"/>
        <v>8916</v>
      </c>
      <c r="W33" s="20">
        <f t="shared" si="9"/>
        <v>9914</v>
      </c>
      <c r="X33" s="20">
        <f t="shared" si="9"/>
        <v>10448</v>
      </c>
      <c r="Y33" s="20">
        <f t="shared" si="9"/>
        <v>9944</v>
      </c>
      <c r="Z33" s="20">
        <f t="shared" si="9"/>
        <v>9313</v>
      </c>
      <c r="AA33" s="20">
        <f t="shared" si="9"/>
        <v>9950</v>
      </c>
      <c r="AB33" s="20">
        <f t="shared" si="9"/>
        <v>9643</v>
      </c>
      <c r="AC33" s="20">
        <f t="shared" si="9"/>
        <v>8636</v>
      </c>
      <c r="AD33" s="20">
        <f t="shared" si="9"/>
        <v>13784.074074074075</v>
      </c>
    </row>
    <row r="34" spans="1:32" ht="15" customHeight="1" x14ac:dyDescent="0.2">
      <c r="A34" s="2" t="s">
        <v>81</v>
      </c>
      <c r="B34" s="19">
        <f>AVERAGE(B4:B29)</f>
        <v>2501.2307692307691</v>
      </c>
      <c r="C34" s="19">
        <f>AVERAGE(C4:C29)</f>
        <v>3322.3888888888887</v>
      </c>
      <c r="D34" s="19">
        <f>AVERAGE(D4:D29)</f>
        <v>3589</v>
      </c>
      <c r="E34" s="19">
        <f t="shared" ref="E34:K34" si="10">AVERAGE(E4:E29)</f>
        <v>3514.6190476190477</v>
      </c>
      <c r="F34" s="19">
        <f t="shared" si="10"/>
        <v>3736.5</v>
      </c>
      <c r="G34" s="19">
        <f t="shared" si="10"/>
        <v>3837.3333333333335</v>
      </c>
      <c r="H34" s="19">
        <f t="shared" si="10"/>
        <v>3876.5454545454545</v>
      </c>
      <c r="I34" s="19">
        <f t="shared" si="10"/>
        <v>3856.1304347826085</v>
      </c>
      <c r="J34" s="19">
        <f t="shared" si="10"/>
        <v>3847.7391304347825</v>
      </c>
      <c r="K34" s="19">
        <f t="shared" si="10"/>
        <v>3524.64</v>
      </c>
      <c r="L34" s="19">
        <f t="shared" ref="L34:P34" si="11">AVERAGE(L4:L29)</f>
        <v>3428.8</v>
      </c>
      <c r="M34" s="19">
        <f t="shared" si="11"/>
        <v>3290.4</v>
      </c>
      <c r="N34" s="19">
        <f t="shared" si="11"/>
        <v>3215.6</v>
      </c>
      <c r="O34" s="18">
        <f t="shared" si="11"/>
        <v>3090.3253222357475</v>
      </c>
      <c r="P34" s="18">
        <f t="shared" si="11"/>
        <v>2756.3510875925499</v>
      </c>
      <c r="Q34" s="18">
        <f t="shared" ref="Q34:AD34" si="12">AVERAGE(Q4:Q29)</f>
        <v>2416.4263543030652</v>
      </c>
      <c r="R34" s="18">
        <f t="shared" si="12"/>
        <v>2070.5208579484311</v>
      </c>
      <c r="S34" s="18">
        <f t="shared" si="12"/>
        <v>1907.634047160821</v>
      </c>
      <c r="T34" s="18">
        <f t="shared" si="12"/>
        <v>1780.5296000000003</v>
      </c>
      <c r="U34" s="18">
        <f t="shared" si="12"/>
        <v>1427.3267999999998</v>
      </c>
      <c r="V34" s="18">
        <f t="shared" si="12"/>
        <v>1302.4046153846152</v>
      </c>
      <c r="W34" s="18">
        <f t="shared" ref="W34:X34" si="13">AVERAGE(W4:W29)</f>
        <v>1326.0710652252956</v>
      </c>
      <c r="X34" s="18">
        <f t="shared" si="13"/>
        <v>1328.5968089548853</v>
      </c>
      <c r="Y34" s="18">
        <f t="shared" ref="Y34:Z34" si="14">AVERAGE(Y4:Y29)</f>
        <v>1147.2911538461537</v>
      </c>
      <c r="Z34" s="18">
        <f t="shared" si="14"/>
        <v>819.29153846153849</v>
      </c>
      <c r="AA34" s="18">
        <f t="shared" ref="AA34:AB34" si="15">AVERAGE(AA4:AA29)</f>
        <v>729.35692307692318</v>
      </c>
      <c r="AB34" s="18">
        <f t="shared" si="15"/>
        <v>671.32506905303421</v>
      </c>
      <c r="AC34" s="18">
        <f t="shared" ref="AC34" si="16">AVERAGE(AC4:AC29)</f>
        <v>232.40340084083903</v>
      </c>
      <c r="AD34" s="18">
        <f t="shared" si="12"/>
        <v>2209.0145850917097</v>
      </c>
    </row>
    <row r="35" spans="1:32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2" ht="15" customHeight="1" x14ac:dyDescent="0.2">
      <c r="A36" s="37" t="s">
        <v>4</v>
      </c>
      <c r="B36" s="40">
        <f>IF($A$36="","",VLOOKUP($A$36,$A$4:B29,(B2-1989)))</f>
        <v>0</v>
      </c>
      <c r="C36" s="44">
        <f>IF($A$36="","",VLOOKUP($A$36,$A$4:C29,(B2-1988)))</f>
        <v>654</v>
      </c>
      <c r="D36" s="44">
        <f>IF($A$36="","",VLOOKUP($A$36,$A$4:D29,(C2-1988)))</f>
        <v>557</v>
      </c>
      <c r="E36" s="44">
        <f>IF($A$36="","",VLOOKUP($A$36,$A$4:E29,(D2-1988)))</f>
        <v>339</v>
      </c>
      <c r="F36" s="44">
        <f>IF($A$36="","",VLOOKUP($A$36,$A$4:F29,(E2-1988)))</f>
        <v>270</v>
      </c>
      <c r="G36" s="44">
        <f>IF($A$36="","",VLOOKUP($A$36,$A$4:G29,(F2-1988)))</f>
        <v>480</v>
      </c>
      <c r="H36" s="44">
        <f>IF($A$36="","",VLOOKUP($A$36,$A$4:H29,(G2-1988)))</f>
        <v>210</v>
      </c>
      <c r="I36" s="44">
        <f>IF($A$36="","",VLOOKUP($A$36,$A$4:I29,(H2-1988)))</f>
        <v>185</v>
      </c>
      <c r="J36" s="44">
        <f>IF($A$36="","",VLOOKUP($A$36,$A$4:J29,(I2-1988)))</f>
        <v>153</v>
      </c>
      <c r="K36" s="44">
        <f>IF($A$36="","",VLOOKUP($A$36,$A$4:K29,(J2-1988)))</f>
        <v>116</v>
      </c>
      <c r="L36" s="44">
        <f>IF($A$36="","",VLOOKUP($A$36,$A$4:L29,(K2-1988)))</f>
        <v>124</v>
      </c>
      <c r="M36" s="44">
        <f>IF($A$36="","",VLOOKUP($A$36,$A$4:M29,(L2-1988)))</f>
        <v>157</v>
      </c>
      <c r="N36" s="44">
        <f>IF($A$36="","",VLOOKUP($A$36,$A$4:N29,(M2-1988)))</f>
        <v>268</v>
      </c>
      <c r="O36" s="44">
        <f>IF($A$36="","",VLOOKUP($A$36,$A$4:O29,(N2-1988)))</f>
        <v>360</v>
      </c>
      <c r="P36" s="44">
        <f>IF($A$36="","",VLOOKUP($A$36,$A$4:P29,(O2-1988)))</f>
        <v>445</v>
      </c>
      <c r="Q36" s="44" t="str">
        <f>IF($A$36="","",VLOOKUP($A$36,$A$4:Q29,(P2-1988)))</f>
        <v>---</v>
      </c>
      <c r="R36" s="44">
        <f>IF($A$36="","",VLOOKUP($A$36,$A$4:R29,(Q2-1988)))</f>
        <v>-994</v>
      </c>
      <c r="S36" s="44">
        <f>IF($A$36="","",VLOOKUP($A$36,$A$4:S29,(R2-1988)))</f>
        <v>-1039</v>
      </c>
      <c r="T36" s="44">
        <f>IF($A$36="","",VLOOKUP($A$36,$A$4:T29,(S2-1988)))</f>
        <v>-925</v>
      </c>
      <c r="U36" s="44">
        <f>IF($A$36="","",VLOOKUP($A$36,$A$4:U29,(T2-1988)))</f>
        <v>-1884</v>
      </c>
      <c r="V36" s="44">
        <f>IF($A$36="","",VLOOKUP($A$36,$A$4:V29,(U2-1988)))</f>
        <v>-1894</v>
      </c>
      <c r="W36" s="44">
        <f>IF($A$36="","",VLOOKUP($A$36,$A$4:W29,(V2-1988)))</f>
        <v>-1847</v>
      </c>
      <c r="X36" s="44">
        <f>IF($A$36="","",VLOOKUP($A$36,$A$4:X29,(W2-1988)))</f>
        <v>-1870</v>
      </c>
      <c r="Y36" s="44">
        <f>IF($A$36="","",VLOOKUP($A$36,$A$4:Y29,(X2-1988)))</f>
        <v>-2733</v>
      </c>
      <c r="Z36" s="44">
        <f>IF($A$36="","",VLOOKUP($A$36,$A$4:Z29,(Y2-1988)))</f>
        <v>-4733</v>
      </c>
      <c r="AA36" s="44">
        <f>IF($A$36="","",VLOOKUP($A$36,$A$4:AA29,(Z2-1988)))</f>
        <v>-4410</v>
      </c>
      <c r="AB36" s="44">
        <f>IF($A$36="","",VLOOKUP($A$36,$A$4:AB29,(AA2-1988)))</f>
        <v>-4714</v>
      </c>
      <c r="AC36" s="44">
        <f>IF($A$36="","",VLOOKUP($A$36,$A$4:AC29,(AB2-1988)))</f>
        <v>-4709</v>
      </c>
      <c r="AD36" s="44">
        <f>IF($A$36="","",VLOOKUP($A$36,$A$4:AD29,(V2-1988)))</f>
        <v>-1847</v>
      </c>
    </row>
    <row r="37" spans="1:32" ht="15" customHeight="1" x14ac:dyDescent="0.2"/>
    <row r="38" spans="1:32" ht="15" customHeight="1" x14ac:dyDescent="0.2">
      <c r="A38" s="2" t="s">
        <v>29</v>
      </c>
      <c r="P38" s="14"/>
      <c r="Q38" s="14"/>
      <c r="R38" s="14"/>
      <c r="S38" s="14"/>
      <c r="T38" s="14"/>
      <c r="U38" s="14">
        <f t="shared" ref="U38:Z38" si="17">COUNTIF(U4:U29,"&lt;0")</f>
        <v>7</v>
      </c>
      <c r="V38" s="14">
        <f t="shared" si="17"/>
        <v>9</v>
      </c>
      <c r="W38" s="14">
        <f t="shared" si="17"/>
        <v>7</v>
      </c>
      <c r="X38" s="14">
        <f t="shared" si="17"/>
        <v>8</v>
      </c>
      <c r="Y38" s="14">
        <f t="shared" si="17"/>
        <v>9</v>
      </c>
      <c r="Z38" s="14">
        <f t="shared" si="17"/>
        <v>9</v>
      </c>
      <c r="AA38" s="14">
        <f t="shared" ref="AA38:AC38" si="18">COUNTIF(AA4:AA29,"&lt;0")</f>
        <v>10</v>
      </c>
      <c r="AB38" s="14">
        <f t="shared" si="18"/>
        <v>11</v>
      </c>
      <c r="AC38" s="14">
        <f t="shared" si="18"/>
        <v>12</v>
      </c>
      <c r="AD38" s="14"/>
      <c r="AF38" s="34">
        <f>SUM(AF4:AF37)</f>
        <v>16</v>
      </c>
    </row>
    <row r="39" spans="1:32" ht="15" customHeight="1" x14ac:dyDescent="0.2">
      <c r="A39" s="7"/>
    </row>
    <row r="40" spans="1:32" ht="15" customHeight="1" x14ac:dyDescent="0.2">
      <c r="A40" s="7"/>
    </row>
    <row r="41" spans="1:32" ht="15" customHeight="1" x14ac:dyDescent="0.2">
      <c r="A41" s="15" t="s">
        <v>70</v>
      </c>
      <c r="B41" s="15"/>
      <c r="C41" s="15"/>
    </row>
    <row r="42" spans="1:32" ht="22.5" x14ac:dyDescent="0.2">
      <c r="A42" s="7" t="s">
        <v>71</v>
      </c>
      <c r="B42" s="49">
        <f t="shared" ref="B42:F42" si="19">COUNTIFS(B4:B29,"&lt;=1000")</f>
        <v>3</v>
      </c>
      <c r="C42" s="49">
        <f t="shared" si="19"/>
        <v>3</v>
      </c>
      <c r="D42" s="49">
        <f t="shared" si="19"/>
        <v>2</v>
      </c>
      <c r="E42" s="49">
        <f t="shared" si="19"/>
        <v>2</v>
      </c>
      <c r="F42" s="49">
        <f t="shared" si="19"/>
        <v>2</v>
      </c>
      <c r="G42" s="49">
        <f>COUNTIFS(G4:G29,"&lt;=1000")</f>
        <v>2</v>
      </c>
      <c r="H42" s="49">
        <f t="shared" ref="H42:AD42" si="20">COUNTIFS(H4:H29,"&lt;=1000")</f>
        <v>2</v>
      </c>
      <c r="I42" s="49">
        <f t="shared" si="20"/>
        <v>2</v>
      </c>
      <c r="J42" s="49">
        <f t="shared" si="20"/>
        <v>3</v>
      </c>
      <c r="K42" s="49">
        <f t="shared" si="20"/>
        <v>4</v>
      </c>
      <c r="L42" s="49">
        <f t="shared" si="20"/>
        <v>6</v>
      </c>
      <c r="M42" s="49">
        <f t="shared" si="20"/>
        <v>5</v>
      </c>
      <c r="N42" s="49">
        <f t="shared" si="20"/>
        <v>6</v>
      </c>
      <c r="O42" s="49">
        <f t="shared" si="20"/>
        <v>7</v>
      </c>
      <c r="P42" s="49">
        <f t="shared" si="20"/>
        <v>8</v>
      </c>
      <c r="Q42" s="49">
        <f t="shared" si="20"/>
        <v>9</v>
      </c>
      <c r="R42" s="49">
        <f t="shared" si="20"/>
        <v>10</v>
      </c>
      <c r="S42" s="49">
        <f t="shared" si="20"/>
        <v>12</v>
      </c>
      <c r="T42" s="49">
        <f t="shared" si="20"/>
        <v>11</v>
      </c>
      <c r="U42" s="49">
        <f t="shared" si="20"/>
        <v>11</v>
      </c>
      <c r="V42" s="49">
        <f t="shared" si="20"/>
        <v>13</v>
      </c>
      <c r="W42" s="49">
        <f t="shared" si="20"/>
        <v>11</v>
      </c>
      <c r="X42" s="49">
        <f t="shared" si="20"/>
        <v>11</v>
      </c>
      <c r="Y42" s="49">
        <f t="shared" si="20"/>
        <v>11</v>
      </c>
      <c r="Z42" s="49">
        <f t="shared" si="20"/>
        <v>13</v>
      </c>
      <c r="AA42" s="49">
        <f t="shared" ref="AA42:AB42" si="21">COUNTIFS(AA4:AA29,"&lt;=1000")</f>
        <v>15</v>
      </c>
      <c r="AB42" s="49">
        <f t="shared" si="21"/>
        <v>15</v>
      </c>
      <c r="AC42" s="49">
        <f t="shared" ref="AC42" si="22">COUNTIFS(AC4:AC29,"&lt;=1000")</f>
        <v>15</v>
      </c>
      <c r="AD42" s="49">
        <f t="shared" si="20"/>
        <v>11</v>
      </c>
    </row>
    <row r="43" spans="1:32" ht="22.5" x14ac:dyDescent="0.2">
      <c r="A43" s="35" t="s">
        <v>72</v>
      </c>
      <c r="B43" s="49">
        <f t="shared" ref="B43:F43" si="23">COUNTIFS(B4:B29,"&lt;=3000",B4:B29,"&gt;1000")</f>
        <v>6</v>
      </c>
      <c r="C43" s="49">
        <f t="shared" si="23"/>
        <v>5</v>
      </c>
      <c r="D43" s="49">
        <f t="shared" si="23"/>
        <v>5</v>
      </c>
      <c r="E43" s="49">
        <f t="shared" si="23"/>
        <v>7</v>
      </c>
      <c r="F43" s="49">
        <f t="shared" si="23"/>
        <v>6</v>
      </c>
      <c r="G43" s="49">
        <f>COUNTIFS(G4:G29,"&lt;=3000",G4:G29,"&gt;1000")</f>
        <v>7</v>
      </c>
      <c r="H43" s="49">
        <f t="shared" ref="H43:AD43" si="24">COUNTIFS(H4:H29,"&lt;=3000",H4:H29,"&gt;1000")</f>
        <v>7</v>
      </c>
      <c r="I43" s="49">
        <f t="shared" si="24"/>
        <v>8</v>
      </c>
      <c r="J43" s="49">
        <f t="shared" si="24"/>
        <v>8</v>
      </c>
      <c r="K43" s="49">
        <f t="shared" si="24"/>
        <v>10</v>
      </c>
      <c r="L43" s="49">
        <f t="shared" si="24"/>
        <v>8</v>
      </c>
      <c r="M43" s="49">
        <f t="shared" si="24"/>
        <v>9</v>
      </c>
      <c r="N43" s="49">
        <f t="shared" si="24"/>
        <v>8</v>
      </c>
      <c r="O43" s="49">
        <f t="shared" si="24"/>
        <v>8</v>
      </c>
      <c r="P43" s="49">
        <f t="shared" si="24"/>
        <v>9</v>
      </c>
      <c r="Q43" s="49">
        <f t="shared" si="24"/>
        <v>8</v>
      </c>
      <c r="R43" s="49">
        <f t="shared" si="24"/>
        <v>10</v>
      </c>
      <c r="S43" s="49">
        <f t="shared" si="24"/>
        <v>8</v>
      </c>
      <c r="T43" s="49">
        <f t="shared" si="24"/>
        <v>10</v>
      </c>
      <c r="U43" s="49">
        <f t="shared" si="24"/>
        <v>9</v>
      </c>
      <c r="V43" s="49">
        <f t="shared" si="24"/>
        <v>7</v>
      </c>
      <c r="W43" s="49">
        <f t="shared" si="24"/>
        <v>10</v>
      </c>
      <c r="X43" s="49">
        <f t="shared" si="24"/>
        <v>10</v>
      </c>
      <c r="Y43" s="49">
        <f t="shared" si="24"/>
        <v>10</v>
      </c>
      <c r="Z43" s="49">
        <f t="shared" si="24"/>
        <v>8</v>
      </c>
      <c r="AA43" s="49">
        <f t="shared" ref="AA43:AB43" si="25">COUNTIFS(AA4:AA29,"&lt;=3000",AA4:AA29,"&gt;1000")</f>
        <v>6</v>
      </c>
      <c r="AB43" s="49">
        <f t="shared" si="25"/>
        <v>6</v>
      </c>
      <c r="AC43" s="49">
        <f t="shared" ref="AC43" si="26">COUNTIFS(AC4:AC29,"&lt;=3000",AC4:AC29,"&gt;1000")</f>
        <v>5</v>
      </c>
      <c r="AD43" s="49">
        <f t="shared" si="24"/>
        <v>8</v>
      </c>
    </row>
    <row r="44" spans="1:32" ht="22.5" x14ac:dyDescent="0.2">
      <c r="A44" s="35" t="s">
        <v>73</v>
      </c>
      <c r="B44" s="49">
        <f t="shared" ref="B44:F44" si="27">COUNTIFS(B4:B29,"&lt;=5000",B4:B29,"&gt;3000")</f>
        <v>3</v>
      </c>
      <c r="C44" s="49">
        <f t="shared" si="27"/>
        <v>7</v>
      </c>
      <c r="D44" s="49">
        <f t="shared" si="27"/>
        <v>8</v>
      </c>
      <c r="E44" s="49">
        <f t="shared" si="27"/>
        <v>9</v>
      </c>
      <c r="F44" s="49">
        <f t="shared" si="27"/>
        <v>7</v>
      </c>
      <c r="G44" s="49">
        <f>COUNTIFS(G4:G29,"&lt;=5000",G4:G29,"&gt;3000")</f>
        <v>7</v>
      </c>
      <c r="H44" s="49">
        <f t="shared" ref="H44:AD44" si="28">COUNTIFS(H4:H29,"&lt;=5000",H4:H29,"&gt;3000")</f>
        <v>8</v>
      </c>
      <c r="I44" s="49">
        <f t="shared" si="28"/>
        <v>8</v>
      </c>
      <c r="J44" s="49">
        <f t="shared" si="28"/>
        <v>7</v>
      </c>
      <c r="K44" s="49">
        <f t="shared" si="28"/>
        <v>7</v>
      </c>
      <c r="L44" s="49">
        <f t="shared" si="28"/>
        <v>7</v>
      </c>
      <c r="M44" s="49">
        <f t="shared" si="28"/>
        <v>7</v>
      </c>
      <c r="N44" s="49">
        <f t="shared" si="28"/>
        <v>7</v>
      </c>
      <c r="O44" s="49">
        <f t="shared" si="28"/>
        <v>6</v>
      </c>
      <c r="P44" s="49">
        <f t="shared" si="28"/>
        <v>5</v>
      </c>
      <c r="Q44" s="49">
        <f t="shared" si="28"/>
        <v>4</v>
      </c>
      <c r="R44" s="49">
        <f t="shared" si="28"/>
        <v>3</v>
      </c>
      <c r="S44" s="49">
        <f t="shared" si="28"/>
        <v>3</v>
      </c>
      <c r="T44" s="49">
        <f t="shared" si="28"/>
        <v>2</v>
      </c>
      <c r="U44" s="49">
        <f t="shared" si="28"/>
        <v>4</v>
      </c>
      <c r="V44" s="49">
        <f t="shared" si="28"/>
        <v>5</v>
      </c>
      <c r="W44" s="49">
        <f t="shared" si="28"/>
        <v>4</v>
      </c>
      <c r="X44" s="49">
        <f t="shared" si="28"/>
        <v>4</v>
      </c>
      <c r="Y44" s="49">
        <f t="shared" si="28"/>
        <v>4</v>
      </c>
      <c r="Z44" s="49">
        <f t="shared" si="28"/>
        <v>4</v>
      </c>
      <c r="AA44" s="49">
        <f t="shared" ref="AA44:AB44" si="29">COUNTIFS(AA4:AA29,"&lt;=5000",AA4:AA29,"&gt;3000")</f>
        <v>4</v>
      </c>
      <c r="AB44" s="49">
        <f t="shared" si="29"/>
        <v>4</v>
      </c>
      <c r="AC44" s="49">
        <f t="shared" ref="AC44" si="30">COUNTIFS(AC4:AC29,"&lt;=5000",AC4:AC29,"&gt;3000")</f>
        <v>4</v>
      </c>
      <c r="AD44" s="49">
        <f t="shared" si="28"/>
        <v>4</v>
      </c>
    </row>
    <row r="45" spans="1:32" ht="22.5" x14ac:dyDescent="0.2">
      <c r="A45" s="35" t="s">
        <v>74</v>
      </c>
      <c r="B45" s="34">
        <f t="shared" ref="B45:F45" si="31">COUNTIFS(B4:B29,"&gt;5000")</f>
        <v>1</v>
      </c>
      <c r="C45" s="34">
        <f t="shared" si="31"/>
        <v>3</v>
      </c>
      <c r="D45" s="34">
        <f t="shared" si="31"/>
        <v>3</v>
      </c>
      <c r="E45" s="34">
        <f t="shared" si="31"/>
        <v>3</v>
      </c>
      <c r="F45" s="34">
        <f t="shared" si="31"/>
        <v>5</v>
      </c>
      <c r="G45" s="34">
        <f>COUNTIFS(G4:G29,"&gt;5000")</f>
        <v>5</v>
      </c>
      <c r="H45" s="34">
        <f t="shared" ref="H45:AD45" si="32">COUNTIFS(H4:H29,"&gt;5000")</f>
        <v>5</v>
      </c>
      <c r="I45" s="34">
        <f t="shared" si="32"/>
        <v>5</v>
      </c>
      <c r="J45" s="34">
        <f t="shared" si="32"/>
        <v>5</v>
      </c>
      <c r="K45" s="34">
        <f t="shared" si="32"/>
        <v>4</v>
      </c>
      <c r="L45" s="34">
        <f t="shared" si="32"/>
        <v>4</v>
      </c>
      <c r="M45" s="34">
        <f t="shared" si="32"/>
        <v>4</v>
      </c>
      <c r="N45" s="34">
        <f t="shared" si="32"/>
        <v>4</v>
      </c>
      <c r="O45" s="34">
        <f t="shared" si="32"/>
        <v>4</v>
      </c>
      <c r="P45" s="34">
        <f t="shared" si="32"/>
        <v>3</v>
      </c>
      <c r="Q45" s="34">
        <f t="shared" si="32"/>
        <v>3</v>
      </c>
      <c r="R45" s="34">
        <f t="shared" si="32"/>
        <v>2</v>
      </c>
      <c r="S45" s="34">
        <f t="shared" si="32"/>
        <v>2</v>
      </c>
      <c r="T45" s="34">
        <f t="shared" si="32"/>
        <v>2</v>
      </c>
      <c r="U45" s="34">
        <f t="shared" si="32"/>
        <v>1</v>
      </c>
      <c r="V45" s="34">
        <f t="shared" si="32"/>
        <v>1</v>
      </c>
      <c r="W45" s="34">
        <f t="shared" si="32"/>
        <v>1</v>
      </c>
      <c r="X45" s="34">
        <f t="shared" si="32"/>
        <v>1</v>
      </c>
      <c r="Y45" s="34">
        <f t="shared" si="32"/>
        <v>1</v>
      </c>
      <c r="Z45" s="34">
        <f t="shared" si="32"/>
        <v>1</v>
      </c>
      <c r="AA45" s="34">
        <f t="shared" ref="AA45:AB45" si="33">COUNTIFS(AA4:AA29,"&gt;5000")</f>
        <v>1</v>
      </c>
      <c r="AB45" s="34">
        <f t="shared" si="33"/>
        <v>1</v>
      </c>
      <c r="AC45" s="34">
        <f t="shared" ref="AC45" si="34">COUNTIFS(AC4:AC29,"&gt;5000")</f>
        <v>1</v>
      </c>
      <c r="AD45" s="34">
        <f t="shared" si="32"/>
        <v>3</v>
      </c>
    </row>
    <row r="46" spans="1:32" ht="15" customHeight="1" x14ac:dyDescent="0.2">
      <c r="A46" s="2" t="s">
        <v>39</v>
      </c>
      <c r="B46" s="34">
        <f>COUNTIF(B4:B29,"&lt;=0")+COUNTIF(B4:B29,"&gt;0")</f>
        <v>13</v>
      </c>
      <c r="C46" s="34">
        <f t="shared" ref="C46:P46" si="35">COUNTIF(C4:C29,"&lt;=0")+COUNTIF(C4:C29,"&gt;0")</f>
        <v>18</v>
      </c>
      <c r="D46" s="34">
        <f t="shared" si="35"/>
        <v>18</v>
      </c>
      <c r="E46" s="34">
        <f t="shared" si="35"/>
        <v>21</v>
      </c>
      <c r="F46" s="34">
        <f t="shared" si="35"/>
        <v>20</v>
      </c>
      <c r="G46" s="34">
        <f t="shared" si="35"/>
        <v>21</v>
      </c>
      <c r="H46" s="34">
        <f t="shared" si="35"/>
        <v>22</v>
      </c>
      <c r="I46" s="34">
        <f t="shared" si="35"/>
        <v>23</v>
      </c>
      <c r="J46" s="34">
        <f t="shared" si="35"/>
        <v>23</v>
      </c>
      <c r="K46" s="34">
        <f t="shared" si="35"/>
        <v>25</v>
      </c>
      <c r="L46" s="34">
        <f t="shared" si="35"/>
        <v>25</v>
      </c>
      <c r="M46" s="34">
        <f t="shared" si="35"/>
        <v>25</v>
      </c>
      <c r="N46" s="34">
        <f t="shared" si="35"/>
        <v>25</v>
      </c>
      <c r="O46" s="34">
        <f t="shared" si="35"/>
        <v>25</v>
      </c>
      <c r="P46" s="34">
        <f t="shared" si="35"/>
        <v>25</v>
      </c>
      <c r="Q46" s="34">
        <f t="shared" ref="Q46:AD46" si="36">COUNTIF(Q4:Q29,"&lt;=0")+COUNTIF(Q4:Q29,"&gt;0")</f>
        <v>24</v>
      </c>
      <c r="R46" s="34">
        <f t="shared" si="36"/>
        <v>25</v>
      </c>
      <c r="S46" s="34">
        <f t="shared" si="36"/>
        <v>25</v>
      </c>
      <c r="T46" s="34">
        <f t="shared" si="36"/>
        <v>25</v>
      </c>
      <c r="U46" s="34">
        <f t="shared" si="36"/>
        <v>25</v>
      </c>
      <c r="V46" s="34">
        <f t="shared" si="36"/>
        <v>26</v>
      </c>
      <c r="W46" s="34">
        <f t="shared" ref="W46:X46" si="37">COUNTIF(W4:W29,"&lt;=0")+COUNTIF(W4:W29,"&gt;0")</f>
        <v>26</v>
      </c>
      <c r="X46" s="34">
        <f t="shared" si="37"/>
        <v>26</v>
      </c>
      <c r="Y46" s="34">
        <f t="shared" ref="Y46:Z46" si="38">COUNTIF(Y4:Y29,"&lt;=0")+COUNTIF(Y4:Y29,"&gt;0")</f>
        <v>26</v>
      </c>
      <c r="Z46" s="34">
        <f t="shared" si="38"/>
        <v>26</v>
      </c>
      <c r="AA46" s="34">
        <f t="shared" ref="AA46:AB46" si="39">COUNTIF(AA4:AA29,"&lt;=0")+COUNTIF(AA4:AA29,"&gt;0")</f>
        <v>26</v>
      </c>
      <c r="AB46" s="34">
        <f t="shared" si="39"/>
        <v>26</v>
      </c>
      <c r="AC46" s="34">
        <f t="shared" ref="AC46" si="40">COUNTIF(AC4:AC29,"&lt;=0")+COUNTIF(AC4:AC29,"&gt;0")</f>
        <v>25</v>
      </c>
      <c r="AD46" s="34">
        <f t="shared" si="36"/>
        <v>26</v>
      </c>
    </row>
    <row r="47" spans="1:32" ht="15" customHeight="1" x14ac:dyDescent="0.2"/>
  </sheetData>
  <autoFilter ref="A3:AD29"/>
  <phoneticPr fontId="4" type="noConversion"/>
  <conditionalFormatting sqref="B46:W46 AD46">
    <cfRule type="cellIs" dxfId="4" priority="5" stopIfTrue="1" operator="notEqual">
      <formula>SUM(B42:B45)</formula>
    </cfRule>
  </conditionalFormatting>
  <conditionalFormatting sqref="C36">
    <cfRule type="expression" dxfId="3" priority="4">
      <formula>OR(C36&lt;&gt;0,C36=0)</formula>
    </cfRule>
  </conditionalFormatting>
  <conditionalFormatting sqref="D36:W36 AD36">
    <cfRule type="expression" dxfId="2" priority="3">
      <formula>OR(D36&lt;&gt;0,D36=0)</formula>
    </cfRule>
  </conditionalFormatting>
  <conditionalFormatting sqref="X46:AC46">
    <cfRule type="cellIs" dxfId="1" priority="2" stopIfTrue="1" operator="notEqual">
      <formula>SUM(X42:X45)</formula>
    </cfRule>
  </conditionalFormatting>
  <conditionalFormatting sqref="X36:AC36">
    <cfRule type="expression" dxfId="0" priority="1">
      <formula>OR(X36&lt;&gt;0,X36=0)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&amp;CNettoschuld je Einwohner</oddFooter>
  </headerFooter>
  <rowBreaks count="1" manualBreakCount="1">
    <brk id="38" max="16383" man="1"/>
  </rowBreaks>
  <ignoredErrors>
    <ignoredError sqref="G42:G4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Group Box 57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8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Feuil1</vt:lpstr>
      <vt:lpstr>Degré d'autofinancement</vt:lpstr>
      <vt:lpstr>Capacité d'autofinancement</vt:lpstr>
      <vt:lpstr>Quotité des intérêts</vt:lpstr>
      <vt:lpstr>Quotité de la charge financière</vt:lpstr>
      <vt:lpstr>Endettement brut - revenus</vt:lpstr>
      <vt:lpstr>Quotité d'investissement</vt:lpstr>
      <vt:lpstr>Endettement par habitant</vt:lpstr>
      <vt:lpstr>Feuil2</vt:lpstr>
      <vt:lpstr>Feuil1!Zone_d_impression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Francis GASSER</cp:lastModifiedBy>
  <cp:lastPrinted>2012-03-15T07:24:48Z</cp:lastPrinted>
  <dcterms:created xsi:type="dcterms:W3CDTF">2010-03-09T12:15:07Z</dcterms:created>
  <dcterms:modified xsi:type="dcterms:W3CDTF">2020-01-31T13:51:35Z</dcterms:modified>
</cp:coreProperties>
</file>